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65101" windowWidth="7245" windowHeight="8835" tabRatio="892" activeTab="0"/>
  </bookViews>
  <sheets>
    <sheet name="ไทย2-4" sheetId="1" r:id="rId1"/>
    <sheet name="ไทย5" sheetId="2" r:id="rId2"/>
    <sheet name="ไทย6" sheetId="3" r:id="rId3"/>
    <sheet name="CF (PwC)" sheetId="4" state="hidden" r:id="rId4"/>
    <sheet name="CF" sheetId="5" state="hidden" r:id="rId5"/>
    <sheet name="Control BS" sheetId="6" state="hidden" r:id="rId6"/>
    <sheet name="3000" sheetId="7" state="hidden" r:id="rId7"/>
    <sheet name="3200" sheetId="8" state="hidden" r:id="rId8"/>
    <sheet name="3300" sheetId="9" state="hidden" r:id="rId9"/>
    <sheet name="3400" sheetId="10" state="hidden" r:id="rId10"/>
    <sheet name="3600" sheetId="11" state="hidden" r:id="rId11"/>
    <sheet name="3700" sheetId="12" state="hidden" r:id="rId12"/>
    <sheet name="3800" sheetId="13" state="hidden" r:id="rId13"/>
    <sheet name="4000" sheetId="14" state="hidden" r:id="rId14"/>
    <sheet name="4100" sheetId="15" state="hidden" r:id="rId15"/>
    <sheet name="5000" sheetId="16" state="hidden" r:id="rId16"/>
    <sheet name="6000" sheetId="17" state="hidden" r:id="rId17"/>
    <sheet name="Control PL" sheetId="18" state="hidden" r:id="rId18"/>
    <sheet name="6100" sheetId="19" state="hidden" r:id="rId19"/>
    <sheet name="6100-1" sheetId="20" state="hidden" r:id="rId20"/>
    <sheet name="6200" sheetId="21" state="hidden" r:id="rId21"/>
    <sheet name="6300" sheetId="22" state="hidden" r:id="rId22"/>
    <sheet name="6300-1" sheetId="23" state="hidden" r:id="rId23"/>
    <sheet name="6500" sheetId="24" state="hidden" r:id="rId24"/>
    <sheet name="TB" sheetId="25" state="hidden" r:id="rId25"/>
    <sheet name="Audit Adj" sheetId="26" state="hidden" r:id="rId26"/>
    <sheet name="Client Adj" sheetId="27" state="hidden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\a">#REF!</definedName>
    <definedName name="\c">#REF!</definedName>
    <definedName name="\p">#REF!</definedName>
    <definedName name="_Order1" hidden="1">255</definedName>
    <definedName name="_Order2" hidden="1">255</definedName>
    <definedName name="a">#REF!</definedName>
    <definedName name="aa">#REF!</definedName>
    <definedName name="ac">#REF!</definedName>
    <definedName name="AC_Fix" localSheetId="12">'[13]ACTABLE'!$C$2:$C$19</definedName>
    <definedName name="AC_Fix" localSheetId="25">'[13]ACTABLE'!$C$2:$C$19</definedName>
    <definedName name="AC_Fix" localSheetId="26">'[13]ACTABLE'!$C$2:$C$19</definedName>
    <definedName name="AC_Fix">'[3]ACTABLE'!$C$2:$C$19</definedName>
    <definedName name="acc">#REF!</definedName>
    <definedName name="ACTABLE" localSheetId="12">'[13]ACTABLE'!$A$2:$D$25</definedName>
    <definedName name="ACTABLE" localSheetId="25">'[13]ACTABLE'!$A$2:$D$25</definedName>
    <definedName name="ACTABLE" localSheetId="26">'[13]ACTABLE'!$A$2:$D$25</definedName>
    <definedName name="ACTABLE">'[3]ACTABLE'!$A$2:$D$25</definedName>
    <definedName name="B_10" localSheetId="12">#REF!</definedName>
    <definedName name="B_10" localSheetId="25">#REF!</definedName>
    <definedName name="B_10" localSheetId="26">#REF!</definedName>
    <definedName name="B_10">#REF!</definedName>
    <definedName name="B_11" localSheetId="12">#REF!</definedName>
    <definedName name="B_11" localSheetId="25">#REF!</definedName>
    <definedName name="B_11" localSheetId="26">#REF!</definedName>
    <definedName name="B_11">#REF!</definedName>
    <definedName name="B_20ba" localSheetId="12">#REF!</definedName>
    <definedName name="B_20ba" localSheetId="25">#REF!</definedName>
    <definedName name="B_20ba" localSheetId="26">#REF!</definedName>
    <definedName name="B_20ba">#REF!</definedName>
    <definedName name="B_20bl" localSheetId="12">#REF!</definedName>
    <definedName name="B_20bl" localSheetId="25">#REF!</definedName>
    <definedName name="B_20bl" localSheetId="26">#REF!</definedName>
    <definedName name="B_20bl">#REF!</definedName>
    <definedName name="B_30" localSheetId="12">#REF!</definedName>
    <definedName name="B_30" localSheetId="25">#REF!</definedName>
    <definedName name="B_30" localSheetId="26">#REF!</definedName>
    <definedName name="B_30">#REF!</definedName>
    <definedName name="B_31o" localSheetId="12">#REF!</definedName>
    <definedName name="B_31o" localSheetId="25">#REF!</definedName>
    <definedName name="B_31o" localSheetId="26">#REF!</definedName>
    <definedName name="B_31o">#REF!</definedName>
    <definedName name="B_31s" localSheetId="12">#REF!</definedName>
    <definedName name="B_31s" localSheetId="25">#REF!</definedName>
    <definedName name="B_31s" localSheetId="26">#REF!</definedName>
    <definedName name="B_31s">#REF!</definedName>
    <definedName name="B_32" localSheetId="12">#REF!</definedName>
    <definedName name="B_32" localSheetId="25">#REF!</definedName>
    <definedName name="B_32" localSheetId="26">#REF!</definedName>
    <definedName name="B_32">#REF!</definedName>
    <definedName name="B_40ba" localSheetId="12">#REF!</definedName>
    <definedName name="B_40ba" localSheetId="25">#REF!</definedName>
    <definedName name="B_40ba" localSheetId="26">#REF!</definedName>
    <definedName name="B_40ba">#REF!</definedName>
    <definedName name="B_40bl" localSheetId="12">#REF!</definedName>
    <definedName name="B_40bl" localSheetId="25">#REF!</definedName>
    <definedName name="B_40bl" localSheetId="26">#REF!</definedName>
    <definedName name="B_40bl">#REF!</definedName>
    <definedName name="B_40is" localSheetId="12">#REF!</definedName>
    <definedName name="B_40is" localSheetId="25">#REF!</definedName>
    <definedName name="B_40is" localSheetId="26">#REF!</definedName>
    <definedName name="B_40is">#REF!</definedName>
    <definedName name="B_50" localSheetId="12">#REF!</definedName>
    <definedName name="B_50" localSheetId="25">#REF!</definedName>
    <definedName name="B_50" localSheetId="26">#REF!</definedName>
    <definedName name="B_50">#REF!</definedName>
    <definedName name="B_51" localSheetId="12">#REF!</definedName>
    <definedName name="B_51" localSheetId="25">#REF!</definedName>
    <definedName name="B_51" localSheetId="26">#REF!</definedName>
    <definedName name="B_51">#REF!</definedName>
    <definedName name="B_52" localSheetId="12">#REF!</definedName>
    <definedName name="B_52" localSheetId="25">#REF!</definedName>
    <definedName name="B_52" localSheetId="26">#REF!</definedName>
    <definedName name="B_52">#REF!</definedName>
    <definedName name="BCExport">#REF!</definedName>
    <definedName name="bo">#REF!</definedName>
    <definedName name="C_">#REF!</definedName>
    <definedName name="code" localSheetId="12">#REF!</definedName>
    <definedName name="code" localSheetId="25">#REF!</definedName>
    <definedName name="code" localSheetId="26">#REF!</definedName>
    <definedName name="code">#REF!</definedName>
    <definedName name="COMNM" localSheetId="12">'[13]COMMON'!$L$13:$L$114</definedName>
    <definedName name="COMNM" localSheetId="25">'[13]COMMON'!$L$13:$L$114</definedName>
    <definedName name="COMNM" localSheetId="26">'[13]COMMON'!$L$13:$L$114</definedName>
    <definedName name="COMNM">'[3]COMMON'!$L$13:$L$114</definedName>
    <definedName name="CompanyName" localSheetId="12">'[12]COMMON'!$E$11</definedName>
    <definedName name="CompanyName" localSheetId="25">'[12]COMMON'!$E$11</definedName>
    <definedName name="CompanyName" localSheetId="26">'[12]COMMON'!$E$11</definedName>
    <definedName name="CompanyName">'[2]COMMON'!$E$11</definedName>
    <definedName name="Confirmation" localSheetId="12">#REF!</definedName>
    <definedName name="Confirmation" localSheetId="25">#REF!</definedName>
    <definedName name="Confirmation" localSheetId="26">#REF!</definedName>
    <definedName name="Confirmation">#REF!</definedName>
    <definedName name="cost" localSheetId="12">#REF!</definedName>
    <definedName name="cost" localSheetId="25">#REF!</definedName>
    <definedName name="cost" localSheetId="26">#REF!</definedName>
    <definedName name="cost">#REF!</definedName>
    <definedName name="cur" localSheetId="12">#REF!</definedName>
    <definedName name="cur" localSheetId="25">#REF!</definedName>
    <definedName name="cur" localSheetId="26">#REF!</definedName>
    <definedName name="cur">#REF!</definedName>
    <definedName name="Currency" localSheetId="12">'[12]Sheet1'!$D$6</definedName>
    <definedName name="Currency" localSheetId="25">'[12]Sheet1'!$D$6</definedName>
    <definedName name="Currency" localSheetId="26">'[12]Sheet1'!$D$6</definedName>
    <definedName name="Currency">'[2]Sheet1'!$D$6</definedName>
    <definedName name="D_Seg_Int" localSheetId="12">'[12]COMMON'!$U$2</definedName>
    <definedName name="D_Seg_Int" localSheetId="25">'[12]COMMON'!$U$2</definedName>
    <definedName name="D_Seg_Int" localSheetId="26">'[12]COMMON'!$U$2</definedName>
    <definedName name="D_Seg_Int">'[2]COMMON'!$U$2</definedName>
    <definedName name="date" localSheetId="12">#REF!</definedName>
    <definedName name="date" localSheetId="25">#REF!</definedName>
    <definedName name="date" localSheetId="26">#REF!</definedName>
    <definedName name="date">#REF!</definedName>
    <definedName name="e">#REF!</definedName>
    <definedName name="front" localSheetId="12">#REF!</definedName>
    <definedName name="front" localSheetId="25">#REF!</definedName>
    <definedName name="front" localSheetId="26">#REF!</definedName>
    <definedName name="front">#REF!</definedName>
    <definedName name="HE">#REF!</definedName>
    <definedName name="HEAD_1">#REF!</definedName>
    <definedName name="HEAD_2">#REF!</definedName>
    <definedName name="HEAD_3">#REF!</definedName>
    <definedName name="jan" localSheetId="12">#REF!</definedName>
    <definedName name="jan" localSheetId="25">#REF!</definedName>
    <definedName name="jan" localSheetId="26">#REF!</definedName>
    <definedName name="jan">#REF!</definedName>
    <definedName name="Käyttöom." localSheetId="12">#REF!</definedName>
    <definedName name="Käyttöom." localSheetId="25">#REF!</definedName>
    <definedName name="Käyttöom." localSheetId="26">#REF!</definedName>
    <definedName name="Käyttöom.">#REF!</definedName>
    <definedName name="Konstuloslaskelma" localSheetId="12">#REF!</definedName>
    <definedName name="Konstuloslaskelma" localSheetId="25">#REF!</definedName>
    <definedName name="Konstuloslaskelma" localSheetId="26">#REF!</definedName>
    <definedName name="Konstuloslaskelma">#REF!</definedName>
    <definedName name="Liikevaihto" localSheetId="12">#REF!</definedName>
    <definedName name="Liikevaihto" localSheetId="25">#REF!</definedName>
    <definedName name="Liikevaihto" localSheetId="26">#REF!</definedName>
    <definedName name="Liikevaihto">#REF!</definedName>
    <definedName name="mmmm" localSheetId="12">#REF!</definedName>
    <definedName name="mmmm" localSheetId="25">#REF!</definedName>
    <definedName name="mmmm" localSheetId="26">#REF!</definedName>
    <definedName name="mmmm">#REF!</definedName>
    <definedName name="name" localSheetId="12">#REF!</definedName>
    <definedName name="name" localSheetId="25">#REF!</definedName>
    <definedName name="name" localSheetId="26">#REF!</definedName>
    <definedName name="name">#REF!</definedName>
    <definedName name="NEW" localSheetId="12">#REF!</definedName>
    <definedName name="NEW" localSheetId="25">#REF!</definedName>
    <definedName name="NEW" localSheetId="26">#REF!</definedName>
    <definedName name="NEW">#REF!</definedName>
    <definedName name="P_1">#REF!</definedName>
    <definedName name="P_2">#REF!</definedName>
    <definedName name="_xlnm.Print_Area" localSheetId="12">'F:\Documents and Settings\twattanamatiphoj\My Documents\Orn\Clipsal\data\1.Client 2001\Poonsap Communication\1.Client 2001\Chuo Senko Group\Carat Media Services\[TOP_Carat_2001 ;).xls]10-1 Media'!#REF!</definedName>
    <definedName name="_xlnm.Print_Area" localSheetId="25">'E:\Documents and Settings\twattanamatiphoj\My Documents\Orn\Clipsal\data\1.Client 2001\Poonsap Communication\1.Client 2001\Chuo Senko Group\Carat Media Services\[TOP_Carat_2001 ;).xls]10-1 Media'!#REF!</definedName>
    <definedName name="_xlnm.Print_Area" localSheetId="26">'E:\Documents and Settings\twattanamatiphoj\My Documents\Orn\Clipsal\data\1.Client 2001\Poonsap Communication\1.Client 2001\Chuo Senko Group\Carat Media Services\[TOP_Carat_2001 ;).xls]10-1 Media'!#REF!</definedName>
    <definedName name="_xlnm.Print_Area">'E:\Documents and Settings\twattanamatiphoj\My Documents\Orn\Clipsal\data\1.Client 2001\Poonsap Communication\1.Client 2001\Chuo Senko Group\Carat Media Services\[TOP_Carat_2001 ;).xls]10-1 Media'!#REF!</definedName>
    <definedName name="_xlnm.Print_Titles" localSheetId="12">'F:\Documents and Settings\twattanamatiphoj\My Documents\Orn\Clipsal\data\1.Client 2001\Poonsap Communication\1.Client 2001\Chuo Senko Group\Carat Media Services\[TOP_Carat_2001 ;).xls]10-1 Media'!$1:$5</definedName>
    <definedName name="_xlnm.Print_Titles" localSheetId="25">'E:\Documents and Settings\twattanamatiphoj\My Documents\Orn\Clipsal\data\1.Client 2001\Poonsap Communication\1.Client 2001\Chuo Senko Group\Carat Media Services\[TOP_Carat_2001 ;).xls]10-1 Media'!$1:$5</definedName>
    <definedName name="_xlnm.Print_Titles" localSheetId="26">'E:\Documents and Settings\twattanamatiphoj\My Documents\Orn\Clipsal\data\1.Client 2001\Poonsap Communication\1.Client 2001\Chuo Senko Group\Carat Media Services\[TOP_Carat_2001 ;).xls]10-1 Media'!$1:$5</definedName>
    <definedName name="_xlnm.Print_Titles">'E:\Documents and Settings\twattanamatiphoj\My Documents\Orn\Clipsal\data\1.Client 2001\Poonsap Communication\1.Client 2001\Chuo Senko Group\Carat Media Services\[TOP_Carat_2001 ;).xls]10-1 Media'!$1:$5</definedName>
    <definedName name="Rahla" localSheetId="12">#REF!</definedName>
    <definedName name="Rahla" localSheetId="25">#REF!</definedName>
    <definedName name="Rahla" localSheetId="26">#REF!</definedName>
    <definedName name="Rahla">#REF!</definedName>
    <definedName name="RMCOptions">"*010000000000000"</definedName>
    <definedName name="Ufinal" localSheetId="12">'[17]10-1 Media:10-cut'!#REF!</definedName>
    <definedName name="Ufinal" localSheetId="25">'[8]10-1 Media:10-cut'!#REF!</definedName>
    <definedName name="Ufinal" localSheetId="26">'[8]10-1 Media:10-cut'!#REF!</definedName>
    <definedName name="Ufinal">'[8]10-1 Media:10-cut'!#REF!</definedName>
    <definedName name="YHQ_SEG" localSheetId="12">'[12]COMMON'!$V$13:$W$13</definedName>
    <definedName name="YHQ_SEG" localSheetId="25">'[12]COMMON'!$V$13:$W$13</definedName>
    <definedName name="YHQ_SEG" localSheetId="26">'[12]COMMON'!$V$13:$W$13</definedName>
    <definedName name="YHQ_SEG">'[2]COMMON'!$V$13:$W$13</definedName>
  </definedNames>
  <calcPr fullCalcOnLoad="1"/>
</workbook>
</file>

<file path=xl/comments17.xml><?xml version="1.0" encoding="utf-8"?>
<comments xmlns="http://schemas.openxmlformats.org/spreadsheetml/2006/main">
  <authors>
    <author>PwC User</author>
  </authors>
  <commentList>
    <comment ref="A21" authorId="0">
      <text>
        <r>
          <rPr>
            <b/>
            <sz val="8"/>
            <rFont val="Tahoma"/>
            <family val="0"/>
          </rPr>
          <t>PwC User:</t>
        </r>
        <r>
          <rPr>
            <sz val="8"/>
            <rFont val="Tahoma"/>
            <family val="0"/>
          </rPr>
          <t xml:space="preserve">
Consist of account no. 412120 - 412130</t>
        </r>
      </text>
    </comment>
  </commentList>
</comments>
</file>

<file path=xl/comments20.xml><?xml version="1.0" encoding="utf-8"?>
<comments xmlns="http://schemas.openxmlformats.org/spreadsheetml/2006/main">
  <authors>
    <author>PwC User</author>
  </authors>
  <commentList>
    <comment ref="A8" authorId="0">
      <text>
        <r>
          <rPr>
            <b/>
            <sz val="8"/>
            <rFont val="Tahoma"/>
            <family val="0"/>
          </rPr>
          <t>PwC User:</t>
        </r>
        <r>
          <rPr>
            <sz val="8"/>
            <rFont val="Tahoma"/>
            <family val="0"/>
          </rPr>
          <t xml:space="preserve">
Consist of account no. 530110 - 530111
</t>
        </r>
      </text>
    </comment>
    <comment ref="A9" authorId="0">
      <text>
        <r>
          <rPr>
            <b/>
            <sz val="8"/>
            <rFont val="Tahoma"/>
            <family val="0"/>
          </rPr>
          <t>PwC User:</t>
        </r>
        <r>
          <rPr>
            <sz val="8"/>
            <rFont val="Tahoma"/>
            <family val="0"/>
          </rPr>
          <t xml:space="preserve">
Consist of account no. 530120-530121</t>
        </r>
      </text>
    </comment>
  </commentList>
</comments>
</file>

<file path=xl/comments21.xml><?xml version="1.0" encoding="utf-8"?>
<comments xmlns="http://schemas.openxmlformats.org/spreadsheetml/2006/main">
  <authors>
    <author>PwC User</author>
  </authors>
  <commentList>
    <comment ref="D13" authorId="0">
      <text>
        <r>
          <rPr>
            <b/>
            <sz val="8"/>
            <rFont val="Tahoma"/>
            <family val="0"/>
          </rPr>
          <t>PwC User:</t>
        </r>
        <r>
          <rPr>
            <sz val="8"/>
            <rFont val="Tahoma"/>
            <family val="0"/>
          </rPr>
          <t xml:space="preserve">
Present loss in 6300</t>
        </r>
      </text>
    </comment>
  </commentList>
</comments>
</file>

<file path=xl/comments22.xml><?xml version="1.0" encoding="utf-8"?>
<comments xmlns="http://schemas.openxmlformats.org/spreadsheetml/2006/main">
  <authors>
    <author>PwC User</author>
  </authors>
  <commentList>
    <comment ref="I82" authorId="0">
      <text>
        <r>
          <rPr>
            <b/>
            <sz val="8"/>
            <rFont val="Tahoma"/>
            <family val="0"/>
          </rPr>
          <t xml:space="preserve">PwC Use : </t>
        </r>
        <r>
          <rPr>
            <sz val="8"/>
            <rFont val="Tahoma"/>
            <family val="2"/>
          </rPr>
          <t>Offset with gain on FA sold # 6200</t>
        </r>
      </text>
    </comment>
    <comment ref="D81" authorId="0">
      <text>
        <r>
          <rPr>
            <b/>
            <sz val="8"/>
            <rFont val="Tahoma"/>
            <family val="0"/>
          </rPr>
          <t>PwC User:</t>
        </r>
        <r>
          <rPr>
            <sz val="8"/>
            <rFont val="Tahoma"/>
            <family val="0"/>
          </rPr>
          <t xml:space="preserve">
Present loss in 6300</t>
        </r>
      </text>
    </comment>
  </commentList>
</comments>
</file>

<file path=xl/comments6.xml><?xml version="1.0" encoding="utf-8"?>
<comments xmlns="http://schemas.openxmlformats.org/spreadsheetml/2006/main">
  <authors>
    <author>PwC User</author>
  </authors>
  <commentList>
    <comment ref="J35" authorId="0">
      <text>
        <r>
          <rPr>
            <b/>
            <sz val="8"/>
            <rFont val="Tahoma"/>
            <family val="0"/>
          </rPr>
          <t>PwC User:</t>
        </r>
        <r>
          <rPr>
            <sz val="8"/>
            <rFont val="Tahoma"/>
            <family val="0"/>
          </rPr>
          <t xml:space="preserve">
Lucite and KMC***</t>
        </r>
      </text>
    </comment>
  </commentList>
</comments>
</file>

<file path=xl/sharedStrings.xml><?xml version="1.0" encoding="utf-8"?>
<sst xmlns="http://schemas.openxmlformats.org/spreadsheetml/2006/main" count="3939" uniqueCount="1213">
  <si>
    <t>งานระหว่างติดตั้ง  -  โครงการ MIDAS</t>
  </si>
  <si>
    <t>งานระหว่างติดตั้ง  -  โครงการ CHANG</t>
  </si>
  <si>
    <t>เงินมัดจำ  -  ทรัพย์สิน</t>
  </si>
  <si>
    <t>ค่าเสื่อมราคาสะสม  -  สิ่งปลูกสร้างและส่วนประกอบ</t>
  </si>
  <si>
    <t>ค่าเสื่อมราคาสะสม  - ส่วนปรับปรุงอาคารเช่า</t>
  </si>
  <si>
    <t>ค่าเสื่อมราคาสะสม  - เครื่องจักรและอุปกรณ์</t>
  </si>
  <si>
    <t>ค่าเสื่อมราคาสะสม  - ยานพาหนะ</t>
  </si>
  <si>
    <t>ค่าเสื่อมราคาสะสม  - เครื่องมือเครื่องใช้ต่าง ๆ</t>
  </si>
  <si>
    <t>ค่าเสื่อมราคาสะสม  - เครื่องใช้ สำนักงาน</t>
  </si>
  <si>
    <t>สินทรัพยอื่น</t>
  </si>
  <si>
    <t>Loss of write-off of equipments</t>
  </si>
  <si>
    <t>เงินมัดจำ  -  เทเล็กซ์</t>
  </si>
  <si>
    <t>เงินมัดจำ  -  วิทยุติดตามตัว</t>
  </si>
  <si>
    <t>เงินมัดจำ  -  ถังน้ำดื่ม</t>
  </si>
  <si>
    <t>เงินมัดจำ  -  ทรัพย์สินอื่น</t>
  </si>
  <si>
    <t>เงินมัดจำ -  โทรศัพท์</t>
  </si>
  <si>
    <t>รายจ่ายรอการตัดบัญชี  -  ค่าธรรมเนียมรับประกันการจำหน่ายหุ้น</t>
  </si>
  <si>
    <t>รายจ่ายรอการตัดบัญช ี -  FCD</t>
  </si>
  <si>
    <t>รายจ่ายรอการตัดบัญช ี -  ค่าหน้าดิน</t>
  </si>
  <si>
    <t>รายจ่ายรอการตัดบัญชี  -  ค่าใช้จ่ายเกี่ยวกับคอมพิวเตอร์</t>
  </si>
  <si>
    <t xml:space="preserve">รายจ่ายค้างจ่าย  -  SHIPPING อื่นๆ </t>
  </si>
  <si>
    <t>ค่าใช้จ่ายเกี่ยวกับ การประเมินราคาก่อสร้าง</t>
  </si>
  <si>
    <t>Accrued exp. - Shipping other</t>
  </si>
  <si>
    <t>รายจ่ายรอการตัดบัญชี  -  ดอกเบี้ยจ่ายค่าเช่ารถ</t>
  </si>
  <si>
    <t>รายจ่ายรอการตัดบัญชี  -  ดอกเบี้ยจ่ายค่าเช่ารถ - Monomers</t>
  </si>
  <si>
    <t>หนี้สิน</t>
  </si>
  <si>
    <t>หนี้สินหมุนเวียน</t>
  </si>
  <si>
    <t>เงินฝากกระแสรายวัน และ เงินกู้ยืมจากธนาคาร</t>
  </si>
  <si>
    <t xml:space="preserve">เงินฝากกระแสรายวัน - ธ. กรุงเทพ    สาขาพลับพลาไชย </t>
  </si>
  <si>
    <t>เงินฝากกระแสรายวัน - ธ. กรุงศรีอยุธยา   สาขาเพลินจิต</t>
  </si>
  <si>
    <t>เงินฝากกระแสรายวัน - ธ. นครธน   สำนักงานใหญ่</t>
  </si>
  <si>
    <t>เงินฝากกระแสรายวัน - ธ. ไทยพาณิชย์   สำนักงานใหญ่</t>
  </si>
  <si>
    <t>เงินฝากกระแสรายวัน - ธ. ไทยพาณิชย์   สาขาบางลำภู  # 003-3-09145-2</t>
  </si>
  <si>
    <t xml:space="preserve">เจ้าหนี้ทรัสต์รีซีท </t>
  </si>
  <si>
    <t>เจ้าหนี้ทรัสต์รีซีท - ธ.กรุงเทพ           สาขาพลับพลาไชย</t>
  </si>
  <si>
    <t>เจ้าหนี้ทรัสต์รีซีท - ธ.กรุงศรีอยุธยา  สาขาเพลินจิต</t>
  </si>
  <si>
    <t>เจ้าหนี้ทรัสต์รีซีท - ธ.กรุงไทย           สาขา เยาวราช</t>
  </si>
  <si>
    <t>เจ้าหนี้ทรัสต์รีซีท - ธ.ไทยพาณิชย์     สนญ.</t>
  </si>
  <si>
    <t>เจ้าหนี้ทรัสต์รีซีท - ธ.นครธน             สนญ.</t>
  </si>
  <si>
    <t>เจ้าหนี้ทรัสต์รีซีท - ธ.ทหารไทย         สนญ.</t>
  </si>
  <si>
    <t>เจ้าหนี้ทรัสต์รีซีท - ธ.แสตนดาดร์ชาร์เตอร์    สนญ.</t>
  </si>
  <si>
    <t>เจ้าหนี้ทรัสต์รีซีท - ธ.ซิตี้แบ้งค์           สนญ.</t>
  </si>
  <si>
    <t>ตั๋วสัญญาใช้เงินธนาคาร</t>
  </si>
  <si>
    <t>ตั๋วสัญญาใช้เงิน - ธ.กรุงเทพ สาขา พพช.</t>
  </si>
  <si>
    <t>เจ้าหนี้ขายลดเช็ค</t>
  </si>
  <si>
    <t>เจ้าหนี้ขายลดเช็ค - BBL</t>
  </si>
  <si>
    <t>เจ้าหนี้ขายลดเช็ค - AYP</t>
  </si>
  <si>
    <t>ตั๋วเงินจ่ายสถาบันการเงิน</t>
  </si>
  <si>
    <t>ตั๋วเงินจ่าย - บงล.เอกธนกิจ</t>
  </si>
  <si>
    <t>ตั๋วเงินจ่าย - บงล.เอกธนา</t>
  </si>
  <si>
    <t>ตั๋วเงินจ่าย - บงล.จี เอฟ</t>
  </si>
  <si>
    <t>ตั๋วเงินจ่าย - บงล.เอฟ ซี ไอ</t>
  </si>
  <si>
    <t>ตั๋วเงินจ่าย - บงล.เอ็มซีซี</t>
  </si>
  <si>
    <t>ตั๋วเงินจ่าย - ค่าเธ่ย์ทรัสต์</t>
  </si>
  <si>
    <t>ตั๋วเงินจ่าย - บงล.เอ จี ซี</t>
  </si>
  <si>
    <t>ตั๋วเงินจ่าย - ร่วมเสริมกิจ</t>
  </si>
  <si>
    <t>ตั๋วเงินจ่าย - บงล.พูลพิพัฒน์</t>
  </si>
  <si>
    <t>ตั๋วเงินจ่าย - บงล.สินเอเซีย</t>
  </si>
  <si>
    <t>เจ้าหนี้การค้า</t>
  </si>
  <si>
    <t>เจ้าหนี้การค้า - ในประเทศ</t>
  </si>
  <si>
    <t>เจ้าหนี้การค้า - ในประเทศ ( Monomer S.)</t>
  </si>
  <si>
    <t>เจ้าหนี้การค้าบริษัทที่เกี่ยวข้องกัน - ในประเทศ</t>
  </si>
  <si>
    <t>เจ้าหนี้การค้า - ต่างประเทศ</t>
  </si>
  <si>
    <t>เจ้าหนี้การค้าบริษัทที่เกี่ยวข้องกัน - ต่างประเทศ</t>
  </si>
  <si>
    <t>เจ้าหนี้การค้าบริษัทที่เกี่ยวข้องกัน - ต่างประเทศ ( Monomer S.)</t>
  </si>
  <si>
    <t>เจ้าหนี้การค้า - ต่างประเทศ  (Monomers)</t>
  </si>
  <si>
    <t>หนี้สินหมุนเวียนอื่น</t>
  </si>
  <si>
    <t>รายได้รับล่วงหน้า</t>
  </si>
  <si>
    <t>เงินรับล่วงหน้าค่าหุ้น</t>
  </si>
  <si>
    <t>ค่าใช้จ่ายค้างจ่าย</t>
  </si>
  <si>
    <t>รายจ่ายค้างจ่าย  -   ดอกเบี้ยจ่าย</t>
  </si>
  <si>
    <t>รายจ่ายค้างจ่าย  -  ภาษีหัก ณ ที่จ่าย</t>
  </si>
  <si>
    <t>รายจ่ายค้างจ่าย  -  ภาษีหัก ณ ที่จ่าย - อินเตอร์ฯ</t>
  </si>
  <si>
    <t>รายจ่ายค้างจ่าย  -  ภาษีหัก ณ ที่จ่าย - แวลูมารีน</t>
  </si>
  <si>
    <t>รายจ่ายค้างจ่าย  -  ภาษีหัก ณ ที่จ่าย - ชิปปิ้ง อื่น ๆ</t>
  </si>
  <si>
    <t>รายจ่ายค้างจ่าย  -  เงินเดือน</t>
  </si>
  <si>
    <t>รายจ่ายค้างจ่าย  - โบนัส</t>
  </si>
  <si>
    <t>รายจ่ายค้างจ่าย  -  ค่าไฟฟ้า</t>
  </si>
  <si>
    <t>รายจ่ายค้างจ่าย  -  ค่าโทรศัพท์</t>
  </si>
  <si>
    <t>รายจ่ายค้างจ่าย  -  ค่าเช่า</t>
  </si>
  <si>
    <t>รายจ่ายค้างจ่าย  -  ค่าสอบบัญชี</t>
  </si>
  <si>
    <t>รายจ่ายค้างจ่าย  -  เงินสมทบกองทุนประกันสังคม</t>
  </si>
  <si>
    <t>รายจ่ายค้างจ่าย  -  เงินสมทบกองทุนสำรองเลี้ยงชีพ</t>
  </si>
  <si>
    <t>รายจ่ายค้างจ่าย  -  อื่น</t>
  </si>
  <si>
    <t>รายจ่ายค้างจ่าย  -  อื่น  ( Monomer S.)</t>
  </si>
  <si>
    <t>รายจ่ายค้างจ่าย  -  VAT</t>
  </si>
  <si>
    <t>รายจ่ายค้างจ่าย  -  เงินปันผล</t>
  </si>
  <si>
    <t>รายจ่ายค้างจ่าย  -  ภาษีเงินได้นิติบุคคล</t>
  </si>
  <si>
    <t>Total Depreciation</t>
  </si>
  <si>
    <t>Per 6100</t>
  </si>
  <si>
    <t>Per 6300</t>
  </si>
  <si>
    <t>Total per Lead</t>
  </si>
  <si>
    <t>Q1st</t>
  </si>
  <si>
    <t>Q2nd</t>
  </si>
  <si>
    <t>Q3rd</t>
  </si>
  <si>
    <t>Q4th</t>
  </si>
  <si>
    <t>Per Lead</t>
  </si>
  <si>
    <t>Leasehold</t>
  </si>
  <si>
    <t>รายจ่ายค้างจ่าย  -  ค่านายหน้า - ในประเทศ</t>
  </si>
  <si>
    <t>รายจ่ายค้างจ่าย  -  ค่านายหน้า - ต่างประเทศ</t>
  </si>
  <si>
    <t>พ.ศ. 2552</t>
  </si>
  <si>
    <t>ณ วันที่ 31 มีนาคม พ.ศ. 2552 และวันที่ 31 ธันวาคม พ.ศ. 2551</t>
  </si>
  <si>
    <t>สำหรับงวดสามเดือนสิ้นสุดวันที่ 31 มีนาคม พ.ศ. 2552 และ พ.ศ. 2551</t>
  </si>
  <si>
    <t>เจ้าหนี้ตามสัญญาซื้อขายเงินตราต่างประเทศล่วงหน้า - สุทธิ</t>
  </si>
  <si>
    <t>รายจ่ายค้างจ่าย  -  ค่านายหน้า - ต่างประเทศ บ.ที่เกี่ยวข้อง</t>
  </si>
  <si>
    <t>รายจ่ายค้างจ่าย  -   SHIPPING</t>
  </si>
  <si>
    <t>รายจ่ายค้างจ่าย  -  แวลู มารีน</t>
  </si>
  <si>
    <t>รายจ่ายค้างจ่าย  -  ค่าภาษีนำเข้า</t>
  </si>
  <si>
    <t>รายจ่ายค้างจ่าย  -  ค่าตอบแทนกรรมการ</t>
  </si>
  <si>
    <t>เจ้าหนี้ผ่อนรถ</t>
  </si>
  <si>
    <t>เจ้าหนี้ผ่อนรถ - บงล.ธนชาติ</t>
  </si>
  <si>
    <t>เจ้าหนี้ผ่อนรถ - ร่วมเสริมกิจ</t>
  </si>
  <si>
    <t>เจ้าหนี้ผ่อนรถ - บงล.ซิทก้า</t>
  </si>
  <si>
    <t>เจ้าหนี้ผ่อนรถ - บ.เงินทุนธนมาศ</t>
  </si>
  <si>
    <t>เจ้าหนี้ผ่อนรถ - บ.ไทยคอมพิวเตอร์</t>
  </si>
  <si>
    <t>เจ้าหนี้อื่นๆ</t>
  </si>
  <si>
    <t>เจ้าหนี้อื่น   บริษัทที่เกี่ยวข้องกัน - ในประเทศ</t>
  </si>
  <si>
    <t>เจ้าหนี้อื่น   บริษัทที่เกี่ยวข้องกัน - ต่างประเทศ</t>
  </si>
  <si>
    <t>เจ้าหนี้ อื่น ๆ  -  FCD.</t>
  </si>
  <si>
    <t>เจ้าหนี้อื่น ๆ  -  ต่างประเทศ</t>
  </si>
  <si>
    <t>เจ้าหนี้อื่น ๆ   ( Monomer S. )</t>
  </si>
  <si>
    <t>ภาษีขาย</t>
  </si>
  <si>
    <t>เจ้าหนี้เงินให้กู้ยีมแก่กรรมการ</t>
  </si>
  <si>
    <t>เจ้าหนี้เช่าซื้อทรัพย์สินถาวร</t>
  </si>
  <si>
    <t>เจ้าหนี้เช่าซื้อ ทรัพย์สินถาวร  -  นครหลวงโชวาลิซซิ่ง</t>
  </si>
  <si>
    <t>Other accounts payable</t>
  </si>
  <si>
    <t>เจ้าหนี้เช่าซื้อ ทรัพย์สินถาวร  -  บ.เวลโกรว์</t>
  </si>
  <si>
    <t>เจ้าหนี้เช่าซื้อ ทรัพย์สินถาวร  -  บงล.ซิ้ตี้คอร์ป</t>
  </si>
  <si>
    <t xml:space="preserve">Cash and cash equivalents </t>
  </si>
  <si>
    <t>Short-term investments</t>
  </si>
  <si>
    <t>Trade accounts and notes receivable, net</t>
  </si>
  <si>
    <t>Trade accounts receivable - related companies</t>
  </si>
  <si>
    <t>Value added tax receivable</t>
  </si>
  <si>
    <t>compare to YE'07</t>
  </si>
  <si>
    <t>Land for factory expansion</t>
  </si>
  <si>
    <t>Total non current assets</t>
  </si>
  <si>
    <t>Rounding</t>
  </si>
  <si>
    <t>From Q1'07</t>
  </si>
  <si>
    <t>Cross Check to Control BS</t>
  </si>
  <si>
    <t>550120</t>
  </si>
  <si>
    <t>550115</t>
  </si>
  <si>
    <t>เจ้าหนี้เช่าซื้อ ทรัพย์สินถาวร  -  บงล.ซิ้ตี้คอร์ป - Monomers</t>
  </si>
  <si>
    <t>หนี้สินระยะยาว</t>
  </si>
  <si>
    <t>เงินกู้ระยะยาว</t>
  </si>
  <si>
    <t>เจ้าหนี้เงินกู้ - ภัทรธนกิจ</t>
  </si>
  <si>
    <t>เจ้าหนี้เงินกู้ - คาเธ่ย์ทรัสต์</t>
  </si>
  <si>
    <t>เจ้าหนี้เงินกู้ - คาเธ่ย์ไฟแนนซ์</t>
  </si>
  <si>
    <t>ส่วนของเจ้าของ</t>
  </si>
  <si>
    <t>ทุนรับชำระแล้ว</t>
  </si>
  <si>
    <t>ส่วนเกินมูลค่าหุ้นสามัญ</t>
  </si>
  <si>
    <t>กำไรสะสม</t>
  </si>
  <si>
    <t>กำไรขาดทุนสำหรับปีก่อน</t>
  </si>
  <si>
    <t>จัดสรรแล้ว</t>
  </si>
  <si>
    <t>สำรองตามกฎหมาย</t>
  </si>
  <si>
    <t>ยังไม่ได้จัดสรร</t>
  </si>
  <si>
    <t>รายได้</t>
  </si>
  <si>
    <t>รายได้จากการขายสินค้า</t>
  </si>
  <si>
    <t>ขายสินค้า-ในประเทศ</t>
  </si>
  <si>
    <t>ขายสินค้า-ต่างประเทศ</t>
  </si>
  <si>
    <t>ขายสินค้า-บ.ที่เกี่ยวข้องกัน</t>
  </si>
  <si>
    <t>ขายต่างประเทศ - บ.ที่เกี่ยวข้อง</t>
  </si>
  <si>
    <t>ขายวัตถุดิบ -ในประเทศ</t>
  </si>
  <si>
    <t>แผนก MONOMER</t>
  </si>
  <si>
    <t>รับคืนสินค้า</t>
  </si>
  <si>
    <t>รับคืนสินค้า-ในประเทศ</t>
  </si>
  <si>
    <t xml:space="preserve">PwC Workdone: </t>
  </si>
  <si>
    <t>A) Agree prior year balance to the last year FS with no exception note.</t>
  </si>
  <si>
    <t>A) Agree to the prior year financial statement and sheet 'Control BS' with no exception found.</t>
  </si>
  <si>
    <t>รับคืนสินค้า-ต่างประเทศ</t>
  </si>
  <si>
    <t>รับคืนสินค้า-บ.ที่เกี่ยวข้อง</t>
  </si>
  <si>
    <t>ส่วนลดจ่าย</t>
  </si>
  <si>
    <t>ส่วนลดจ่าย - ในประเทศ</t>
  </si>
  <si>
    <t>ส่วนลดจ่าย-ต่างประเทศ</t>
  </si>
  <si>
    <t>ส่วนลดจ่าย-บ.ที่เกี่ยวข้องกัน</t>
  </si>
  <si>
    <t>รายได้อื่นจากกิจการ</t>
  </si>
  <si>
    <t>รายได้จากการขายเศษซาก</t>
  </si>
  <si>
    <t>กำไร/ขาดทุนจากขายวัตถุดิบ</t>
  </si>
  <si>
    <t>ดอกเบี้ยรับ</t>
  </si>
  <si>
    <t>ดอกเบี้ยรับ - เงินกู้ยีมพนักงาน</t>
  </si>
  <si>
    <t>รายได้เบ็ดเตล็ด</t>
  </si>
  <si>
    <t>รายได้จากการรับจ้างผลิต</t>
  </si>
  <si>
    <t>เงินได้ชดเชยภาษี</t>
  </si>
  <si>
    <t>ส่วนขาด/เกินจากการชำระภาษีนำเข้า</t>
  </si>
  <si>
    <t>กำไร/ขาดทุนจากอัตราแลกเปลี่ยน</t>
  </si>
  <si>
    <t>กำไร/ขาดทุนจากการจำหน่าย ท/ส</t>
  </si>
  <si>
    <t>รายได้อื่น ๆ ที่มิใช่กิจการค้า</t>
  </si>
  <si>
    <t>กำไร(ขาดทุน)จากการจำหน่ายหลักทรัพย์</t>
  </si>
  <si>
    <t>ส่วนลดรับ - วัตถุดิบ</t>
  </si>
  <si>
    <t xml:space="preserve">ส่วนลดรับ - อื่น ๆ </t>
  </si>
  <si>
    <t>ค่าใช้จ่าย</t>
  </si>
  <si>
    <t>ซื้อวัตถุดิบ</t>
  </si>
  <si>
    <t>ต้นทุนวัตถุดิบที่ขาย</t>
  </si>
  <si>
    <t>ต้นทุนสินค้าสำเร็จรูปจ้างผลิต</t>
  </si>
  <si>
    <t>ต้นทุนวัตถุดิบจ้างผลิต</t>
  </si>
  <si>
    <t>ซื้อวัตถุดิบ - ในประเทศ</t>
  </si>
  <si>
    <t>แผนก กาวอะคริลิค</t>
  </si>
  <si>
    <t>ซื้อวัตถุดิบ - ต่างประเทศ</t>
  </si>
  <si>
    <t>ค่าระวางสินค้านำเข้า</t>
  </si>
  <si>
    <t>ค่าภาษีสินค้านำเข้า</t>
  </si>
  <si>
    <t>ค่าใช้จ่ายสินค้านำเข้า</t>
  </si>
  <si>
    <t>ส่งคืนวัตถุดิบ</t>
  </si>
  <si>
    <t>ซื้อสินค้าสำเร็จรูป</t>
  </si>
  <si>
    <t>ค่าแรงจ้างผลิต</t>
  </si>
  <si>
    <t>ค่าแรงงานทางตรง</t>
  </si>
  <si>
    <t>แผนกบ่อ-เตา ABC</t>
  </si>
  <si>
    <t>แผนก EXTRUSION (ส่วนกลาง)</t>
  </si>
  <si>
    <t>แผนกผลิต ABS/HI-PS</t>
  </si>
  <si>
    <t>แผนกรับจ้างผลิต</t>
  </si>
  <si>
    <t>ค่าแรงงานทางตรง - Contractor</t>
  </si>
  <si>
    <t>ค่าแรงงานทางตรง - ค่าล่วงเวลา</t>
  </si>
  <si>
    <t>ค่าใช้จ่ายโรงงาน</t>
  </si>
  <si>
    <t>เงินเดือนและค่าแรง</t>
  </si>
  <si>
    <t>แผนกวางแผนการผลิต/จัดซื้อ</t>
  </si>
  <si>
    <t>แผนกผลิตพลาสติก (ส่วนกลาง)</t>
  </si>
  <si>
    <t>แผนกซ่อมบำรุง</t>
  </si>
  <si>
    <t>แผนกสโตร์ใน</t>
  </si>
  <si>
    <t>แผนกสโตร์นอก</t>
  </si>
  <si>
    <t>แผนกยานยนต์</t>
  </si>
  <si>
    <t>แผนกโฟล์คลิฟ</t>
  </si>
  <si>
    <t>แผนกวัตถุดิบ</t>
  </si>
  <si>
    <t>แผนกรับพัสดุ</t>
  </si>
  <si>
    <t xml:space="preserve">แผนก Export &amp; Packing </t>
  </si>
  <si>
    <t>เงินเดือนและค่าแรง - Contractor</t>
  </si>
  <si>
    <t>ค่าล่วงเวลา</t>
  </si>
  <si>
    <t>ค่าล่วงเวลา - Contractor</t>
  </si>
  <si>
    <t>โบนัส</t>
  </si>
  <si>
    <t>ค่าสวัสดิการพนักงาน</t>
  </si>
  <si>
    <t>ค่าน้ำมันเชื้อเพลิง</t>
  </si>
  <si>
    <t>ค่าซ่อมแซมและบำรุงรักษา</t>
  </si>
  <si>
    <t>ค่าบริการรักษาความปลอดภัย</t>
  </si>
  <si>
    <t>ค่าภาษีโรงเรือนและที่ดิน</t>
  </si>
  <si>
    <t>PLANT MOVE PROJECT EXPENSE</t>
  </si>
  <si>
    <t>ค่าเบี้ยประกันภัยโรงงาน</t>
  </si>
  <si>
    <t>ค่าเบี้ยประกันชีวิตพนักงาน</t>
  </si>
  <si>
    <t>ค่าเช่า</t>
  </si>
  <si>
    <t>ค่าไฟฟ้า</t>
  </si>
  <si>
    <t>ค่าน้ำ</t>
  </si>
  <si>
    <t>ค่าภาชนะหีบห่อ</t>
  </si>
  <si>
    <t>ค่าเงินสมทบกองทุนทดแทน</t>
  </si>
  <si>
    <t>ค่าเงินสมทบกองทุนประกันสังคม</t>
  </si>
  <si>
    <t>ค่าเงินสมทบกองทุนสำรองเลี้ยงชีพ</t>
  </si>
  <si>
    <t>ค่าใช้จ่ายเกี่ยวกับความปลอดภัยสุขภาพและสิ่งแวดล้อม</t>
  </si>
  <si>
    <t>แบบพิมพ์กระจกตัดจ่าย</t>
  </si>
  <si>
    <t>ค่าธรรมเนียมใบอนุญาต</t>
  </si>
  <si>
    <t>ค่าใช้จ่ายในการป้องกันอัคคีภัย</t>
  </si>
  <si>
    <t>ค่าเสื่อมราคา  -  สิ่งปลูกสร้างและส่วนประกอบ</t>
  </si>
  <si>
    <t>ค่าเสื่อมราคา  -  เครื่องจักรและอุปกรณ์</t>
  </si>
  <si>
    <t>ค่าเสื่อมราคา  -  ยานพาหนะ</t>
  </si>
  <si>
    <t>ค่าเสื่อมราคา  -  เครื่องมือเครื่องใช้ต่าง ๆ</t>
  </si>
  <si>
    <t>แผนกผลิต PP PROFILE</t>
  </si>
  <si>
    <t>Quarter 2'05</t>
  </si>
  <si>
    <t>Quarter 3'05</t>
  </si>
  <si>
    <t>Year ended 2005</t>
  </si>
  <si>
    <t>ค่าใช้จ่ายห้องทดลอง</t>
  </si>
  <si>
    <t>วัสดุประกอบใช้ไป</t>
  </si>
  <si>
    <t>แผนก PMMA</t>
  </si>
  <si>
    <t>Purchase</t>
  </si>
  <si>
    <t>วัสดุสิ้นเปลืองใช้ไป</t>
  </si>
  <si>
    <t>ค่าเช่าและขนส่งน้ำยา MMA</t>
  </si>
  <si>
    <t>ค่าใช้จ่ายเบ็ดเตล็ด</t>
  </si>
  <si>
    <t>Pension</t>
  </si>
  <si>
    <t>Thai Poly Acrylic Public Company Limited</t>
  </si>
  <si>
    <t>Summary of client adjustment</t>
  </si>
  <si>
    <t>No.</t>
  </si>
  <si>
    <t>Ref.</t>
  </si>
  <si>
    <t>AC</t>
  </si>
  <si>
    <t>Description</t>
  </si>
  <si>
    <t>Balance sheet</t>
  </si>
  <si>
    <t xml:space="preserve">Profit &amp; Loss </t>
  </si>
  <si>
    <t>Dr.</t>
  </si>
  <si>
    <t>Cr.</t>
  </si>
  <si>
    <t>Status</t>
  </si>
  <si>
    <t>Post</t>
  </si>
  <si>
    <t>Check</t>
  </si>
  <si>
    <t>Effected P&amp;L</t>
  </si>
  <si>
    <t>31/03/08</t>
  </si>
  <si>
    <t>AJ1</t>
  </si>
  <si>
    <t>To reverse cheque on hand as at 31 March 08 to AP</t>
  </si>
  <si>
    <t>Summary of client reclassification</t>
  </si>
  <si>
    <t>C Rec1</t>
  </si>
  <si>
    <t>To reclassify accrued expenses to amount due to</t>
  </si>
  <si>
    <t>Doubtful  Debt</t>
  </si>
  <si>
    <t>242190</t>
  </si>
  <si>
    <t>บริษัท ไทยโพลีอะคริลิค จำกัด (มหาชน)</t>
  </si>
  <si>
    <t>งบดุล</t>
  </si>
  <si>
    <t>31 มีนาคม</t>
  </si>
  <si>
    <t>31 ธันวาคม</t>
  </si>
  <si>
    <t>พ.ศ. 2551</t>
  </si>
  <si>
    <t>ยังไม่ได้ตรวจสอบ</t>
  </si>
  <si>
    <t>ตรวจสอบแล้ว</t>
  </si>
  <si>
    <t>หมายเหตุ</t>
  </si>
  <si>
    <t>บาท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</si>
  <si>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</si>
  <si>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</si>
  <si>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</si>
  <si>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เงินลงทุนระยะสั้น</t>
  </si>
  <si>
    <t>ลูกหนี้การค้า - บริษัทที่เกี่ยวข้องกัน</t>
  </si>
  <si>
    <t>สินค้าคงเหลือ - สุทธิ</t>
  </si>
  <si>
    <t>ภาษีมูลค่าเพิ่มค้างรับ</t>
  </si>
  <si>
    <t>รวมสินทรัพย์หมุนเวียน</t>
  </si>
  <si>
    <t>สินทรัพย์ไม่หมุนเวียน</t>
  </si>
  <si>
    <t>เงินให้กู้ยืมแก่พนักงาน</t>
  </si>
  <si>
    <t>ที่ดิน อาคารและอุปกรณ์ - สุทธิ</t>
  </si>
  <si>
    <t>ค่าสิทธิการเช่า - สุทธิ</t>
  </si>
  <si>
    <t xml:space="preserve">ที่ดินเพื่อการขยายโรงงาน </t>
  </si>
  <si>
    <t>เงินมัดจำ</t>
  </si>
  <si>
    <t>รวมสินทรัพย์ไม่หมุนเวียน</t>
  </si>
  <si>
    <t>รวมสินทรัพย์</t>
  </si>
  <si>
    <t>หนี้สินและส่วนของผู้ถือหุ้น</t>
  </si>
  <si>
    <t>เจ้าหนี้การค้า - บริษัทที่เกี่ยวข้องกัน</t>
  </si>
  <si>
    <t>เจ้าหนี้การค้า - บริษัทอื่น</t>
  </si>
  <si>
    <t>เจ้าหนี้อื่น - บริษัทที่เกี่ยวข้องกัน</t>
  </si>
  <si>
    <t>เจ้าหนี้อื่น - บริษัทอื่น</t>
  </si>
  <si>
    <t>ส่วนของหนี้สินจากสัญญาเช่าการเงินที่ถึงกำหนดชำระภายในหนึ่งปี</t>
  </si>
  <si>
    <t>ภาษีเงินได้ค้างจ่าย</t>
  </si>
  <si>
    <t>รวมหนี้สินหมุนเวียน</t>
  </si>
  <si>
    <t>หนี้สินไม่หมุนเวียน</t>
  </si>
  <si>
    <t>หนี้สินจากสัญญาเช่าการเงิน</t>
  </si>
  <si>
    <t>บริษัท ไทยโพลีอะคริลิค จำกัด ( มหาชน )</t>
  </si>
  <si>
    <t>สิ้นสุด ณ วันที่ 31 มีนาคม 2551  และ 2550</t>
  </si>
  <si>
    <t>YTD / 2551</t>
  </si>
  <si>
    <t>YTD / 2550</t>
  </si>
  <si>
    <t>กำไร ( ขาดทุน ) สุทธิ</t>
  </si>
  <si>
    <t>ปรับกระทบเป็นเงินสดรับ (จ่าย) จากกิจกรรมดำเนินงาน</t>
  </si>
  <si>
    <t>ค่าเสื่อมราคา และรายการตัดบัญชีอาคารและอุปกรณ์</t>
  </si>
  <si>
    <t>( กำไร )ขาดทุน สุทธิจากการขายและตัดจำหน่ายอุปกรณ์</t>
  </si>
  <si>
    <t>ตัดจำหน่ายสินทรัพย์ถาวร</t>
  </si>
  <si>
    <t>ค่าเผื่อสินค้าคาดว่าจะขายได้ต่ำกว่าทุน</t>
  </si>
  <si>
    <t>ภาระผูกพันตามแผนการจ่ายผลตอบแทนพนักงาน</t>
  </si>
  <si>
    <t>การเปลี่ยนแปลงในสินทรัพย์และหนี้สินดำเนินงาน</t>
  </si>
  <si>
    <t>ลูกหนี้การค้าอื่น ๆตั๋วเงินรับการค้าอื่น ๆ</t>
  </si>
  <si>
    <t>สินทรัพย์หมุนเวียนอื่น ๆ</t>
  </si>
  <si>
    <t>เจ้าหนี้การค้า  -  บริษัทที่เกี่ยวข้องกัน</t>
  </si>
  <si>
    <t xml:space="preserve">เจ้าหนี้การค้า  -  บริษัทอื่น </t>
  </si>
  <si>
    <t>เจ้าหนี้อื่น ๆ บริษัทอื่น</t>
  </si>
  <si>
    <t>เจ้าหนี้ตามสัญญาซื้อเงินตราต่างประเทศล่วงหน้า - สุทธิ</t>
  </si>
  <si>
    <t>เงินสดสุทธิใช้ไปในกิจกรรมดำเนินงาน</t>
  </si>
  <si>
    <t>ซื้อเงินลงทุนระยะสั้น</t>
  </si>
  <si>
    <t>เงินสดรับจากการขายอุปกรณ์</t>
  </si>
  <si>
    <t>เงินให้กู้ยืมแก่บริษัทที่เกี่ยวข้องกัน</t>
  </si>
  <si>
    <t>เงินสดรับจากเงินกู้ยืมจากธนาคาร</t>
  </si>
  <si>
    <t>จ่ายเงินปันผล</t>
  </si>
  <si>
    <t>เงินสดและรายการเทียบเท่าเงินสดเพิ่มขึ้น (ลดลง) สุทธิ</t>
  </si>
  <si>
    <t>ยอดคงเหลือต้นปี</t>
  </si>
  <si>
    <t>กำไร (ขาดทุน) จากอัตราแลกเปลี่ยนที่ยังไม่เกิดขึ้นจริงจากเงินฝากธ.ที่เป็นเงินตราตปท.</t>
  </si>
  <si>
    <t>ยอดคงเหลือปลายปี</t>
  </si>
  <si>
    <t>เงินสดและรายการเทียบเท่าเงินสดประกอบด้วย</t>
  </si>
  <si>
    <t>เงินสด</t>
  </si>
  <si>
    <t>เงินฝากธนาคารประเภทกระแสรายวันและออมทรัพย์</t>
  </si>
  <si>
    <t>B/S =</t>
  </si>
  <si>
    <t xml:space="preserve">test  </t>
  </si>
  <si>
    <t>ข้อมูลเพิ่มเติม</t>
  </si>
  <si>
    <t>ดอกเบี้ยจ่าย (560000-560160)</t>
  </si>
  <si>
    <t>ภาษีเงินได้จ่าย (143120, ภงด.50+ภงด.51)</t>
  </si>
  <si>
    <t>รายการที่ไม่ใช่เงินสด (หมายเหตุ 9 )</t>
  </si>
  <si>
    <t>สินทรัพย์ถาวรที่ได้มาตามสัญญาเช่าการเงิน (ต้นทุนของส/ทที่ทำ leasing)</t>
  </si>
  <si>
    <t>Remark:</t>
  </si>
  <si>
    <t>ภงด.50 paid '05/08</t>
  </si>
  <si>
    <t>ภงด.51 paid '08/08</t>
  </si>
  <si>
    <t>143120 year 2008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</si>
  <si>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</si>
  <si>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</si>
  <si>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</si>
  <si>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</si>
  <si>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>ทุนจดทะเบียน หุ้นสามัญ 12,150,000 หุ้น มูลค่าหุ้นละ 10 บาท</t>
  </si>
  <si>
    <t xml:space="preserve">ทุนที่ออกและชำระเต็มมูลค่าแล้ว </t>
  </si>
  <si>
    <t>หุ้นสามัญ 12,150,000 หุ้น มูลค่าหุ้นละ 10 บาท</t>
  </si>
  <si>
    <t>ส่วนเกินมูลค่าหุ้น</t>
  </si>
  <si>
    <t>ลูกหนี้การค้า - สุทธิ</t>
  </si>
  <si>
    <t>จัดสรรแล้ว - สำรองตามกฎหมาย</t>
  </si>
  <si>
    <t>รวมส่วนของผู้ถือหุ้น</t>
  </si>
  <si>
    <t>รวมหนี้สินและส่วนของผู้ถือหุ้น</t>
  </si>
  <si>
    <t>งบกำไรขาดทุน</t>
  </si>
  <si>
    <t xml:space="preserve">บาท </t>
  </si>
  <si>
    <t>รายได้จากการขาย - สุทธิ</t>
  </si>
  <si>
    <t>รายได้ค่าบริการ</t>
  </si>
  <si>
    <t>รายได้อื่น</t>
  </si>
  <si>
    <t>รวมรายได้</t>
  </si>
  <si>
    <t xml:space="preserve">รวมค่าใช้จ่าย </t>
  </si>
  <si>
    <t>กำไรก่อนภาษีเงินได้</t>
  </si>
  <si>
    <t>ภาษีเงินได้</t>
  </si>
  <si>
    <t>กำไรสุทธิสำหรับงวด</t>
  </si>
  <si>
    <t>กำไรต่อหุ้นขั้นพื้นฐาน</t>
  </si>
  <si>
    <t>(ยังไม่ได้ตรวจสอบ)</t>
  </si>
  <si>
    <t>ทุนที่ออกจำหน่าย</t>
  </si>
  <si>
    <t>ส่วนเกิน</t>
  </si>
  <si>
    <t>สำรองตาม</t>
  </si>
  <si>
    <t>และชำระแล้ว</t>
  </si>
  <si>
    <t>มูลค่าหุ้น</t>
  </si>
  <si>
    <t>กฎหมาย</t>
  </si>
  <si>
    <t>ที่ยังไม่ได้จัดสรร</t>
  </si>
  <si>
    <t>รวม</t>
  </si>
  <si>
    <t xml:space="preserve">        -</t>
  </si>
  <si>
    <t>งบกระแสเงินสด</t>
  </si>
  <si>
    <t>กระแสเงินสดจากกิจกรรมดำเนินงาน</t>
  </si>
  <si>
    <t>กระแสเงินสดจากกิจกรรมลงทุน</t>
  </si>
  <si>
    <t>เงินสดจ่ายเพื่อซื้ออาคารและอุปกรณ์</t>
  </si>
  <si>
    <t>เงินสดสุทธิใช้ไปในกิจกรรมลงทุน</t>
  </si>
  <si>
    <t>กระแสเงินสดจากกิจกรรมจัดหาเงิน</t>
  </si>
  <si>
    <t>จ่ายคืนเงินต้นของสัญญาเช่าการเงิน</t>
  </si>
  <si>
    <t>เงินสดสุทธิใช้ไปในกิจกรรมจัดหาเงิน</t>
  </si>
  <si>
    <t>ผลกระทบของการเปลี่ยนแปลงในอัตราแลกเปลี่ยน</t>
  </si>
  <si>
    <t>เงินสดและรายการเทียบเท่าเงินสดลดลง - สุทธิ</t>
  </si>
  <si>
    <t>ยอดคงเหลือต้นงวด</t>
  </si>
  <si>
    <t>จากเงินฝากธนาคารที่เป็นเงินตราต่างประเทศ</t>
  </si>
  <si>
    <t>ยอดคงเหลือปลายงวด</t>
  </si>
  <si>
    <t>ค่าใช้จ่ายในการขายและบริหาร</t>
  </si>
  <si>
    <t>แผนกบัญชี-การเงิน</t>
  </si>
  <si>
    <t>แผนกจัดซื้อ</t>
  </si>
  <si>
    <t>แผนก S &amp; OP</t>
  </si>
  <si>
    <t>เงินเดือนค่าแรง - Contractor</t>
  </si>
  <si>
    <t>ค่าเงินกองทุนบำเหน็จ</t>
  </si>
  <si>
    <t>ค่าอากรแสตมป์</t>
  </si>
  <si>
    <t>ค่าเครื่องเขียนแบบพิมพ์</t>
  </si>
  <si>
    <t>แผนก IT</t>
  </si>
  <si>
    <t>ค่าไปรษณีย์ โทรเลข โทรศัพท์</t>
  </si>
  <si>
    <t>ค่าใช้จ่ายในการเดินทาง</t>
  </si>
  <si>
    <t>ค่าใช้จ่ายในการเดินทาง - ICI</t>
  </si>
  <si>
    <t>ค่าใช้จ่ายต่างประเทศ ICI</t>
  </si>
  <si>
    <t>ค่ารับรอง</t>
  </si>
  <si>
    <t>ค่าโกดังและค่าขนส่งสินค้า</t>
  </si>
  <si>
    <t>ค่าระวางเรือขาออก</t>
  </si>
  <si>
    <t>ค่าเบี้ยประกันภัยสินค้าขาออก</t>
  </si>
  <si>
    <t>ค่าตรวจสอบคุณภาพสินค้า</t>
  </si>
  <si>
    <t>ค่าโฆษณาและส่งเสริมการขาย</t>
  </si>
  <si>
    <t>ค่านายหน้าขาย - ในประเทศ</t>
  </si>
  <si>
    <t>แผนก Casting</t>
  </si>
  <si>
    <t>แผนก Extrusion</t>
  </si>
  <si>
    <t>ค่านายหน้าขาย - ต่างประเทศ</t>
  </si>
  <si>
    <t>ค่าซ่อมแซมและบำรุงรักษาทรัพย์สิน</t>
  </si>
  <si>
    <t xml:space="preserve">ค่าธรรมเนียมอื่น ๆ </t>
  </si>
  <si>
    <t>ค่าธรรมเนียมหนังสือค้ำประกัน L/G</t>
  </si>
  <si>
    <t>ค่าใช้จ่ายในการส่งออก</t>
  </si>
  <si>
    <t>ค่าน้ำมันรถ</t>
  </si>
  <si>
    <t>ค่าซ่อมแซมยานพาหนะ</t>
  </si>
  <si>
    <t>ค่าภาษีอากรขาเข้า</t>
  </si>
  <si>
    <t>ค่าตรวจสอบบัญชีภายใน</t>
  </si>
  <si>
    <t>ค่าเบี้ยประกันภัย - ทรัพย์สิน</t>
  </si>
  <si>
    <t>ค่าเบี้ยประกันชีวิต - พนักงาน</t>
  </si>
  <si>
    <t>ค่าธรรมเนียมธนาคาร</t>
  </si>
  <si>
    <t>ค่าบริจาคการกุศล</t>
  </si>
  <si>
    <t>ค่าเช่า - ยานพาหนะ</t>
  </si>
  <si>
    <t>ค่าเช่า - วิทยุติดตามตัว</t>
  </si>
  <si>
    <t>ค่าเช่า - อาคารสำนักงานสาขา</t>
  </si>
  <si>
    <t>ค่าเช่า - ที่จอดรถ</t>
  </si>
  <si>
    <t>ค่าเช่า - อุปกรณ์สำนักงาน</t>
  </si>
  <si>
    <t>ค่าเสื่อมราคา  -  เครื่องใช้สำนักงาน</t>
  </si>
  <si>
    <t>ค่าเสื่อมราคา  -  ส่วนปรับปรุงอาคารเช่า</t>
  </si>
  <si>
    <t>ค่าเสื่อมราคา - ยานพาหนะ</t>
  </si>
  <si>
    <t>ค่าภาษีป้าย</t>
  </si>
  <si>
    <t>ค่าสัมมนาและฝึกอบรม</t>
  </si>
  <si>
    <t>ค่าเบี้ยปรับตั๋วสัญญาใช้เงิน</t>
  </si>
  <si>
    <t>ค่าธรรมเนียมรายปี</t>
  </si>
  <si>
    <t>ค่าประชาสัมพันธ์</t>
  </si>
  <si>
    <t>ค่าใช้จ่ายของศูนย์รับฝากหลักทรัพย์</t>
  </si>
  <si>
    <t>ค่าชดเชยสินค้าเสียหาย</t>
  </si>
  <si>
    <t>ค่าของขวัญ</t>
  </si>
  <si>
    <t>ค่าใช่จ่ายเกี่ยวกับหลักทรัพย์</t>
  </si>
  <si>
    <t>ค่าใช้จ่ายทรัพย์สินชำรุดสูญหาย</t>
  </si>
  <si>
    <t>ค่าจัดงานประจำปี</t>
  </si>
  <si>
    <t>ค่าภาษีมูลค่าเพิ่มที่ยังไม่ได้รับใบกำกับภาษี</t>
  </si>
  <si>
    <t>หนี้สงสัยจะสูญ</t>
  </si>
  <si>
    <t>หนี้สูญ</t>
  </si>
  <si>
    <t>รายจ่ายต้องห้ามในการคำนวณภาษีเงินได้  - อื่น ๆ</t>
  </si>
  <si>
    <t>รายจ่ายต้องห้ามในการคำนวณภาษีเงินได้ -  ค่าเช่ารถ</t>
  </si>
  <si>
    <t>เบี้ยปรับเงินเพิ่ม</t>
  </si>
  <si>
    <t>ค่าตัวอย่างสินค้า</t>
  </si>
  <si>
    <t>ค่าเบี้ยปรับกรมตำรวจ</t>
  </si>
  <si>
    <t>ค่าใช้จ่ายในการประชุมคณะกรรมการ</t>
  </si>
  <si>
    <t>ค่าใช้จ่ายในการประชุมผู้ถือหุ้น</t>
  </si>
  <si>
    <t>ค่าตอบแทนกรรมการ</t>
  </si>
  <si>
    <t>ค่าใช้จ่ายเกี่ยวกับคอมพิวเตอร์</t>
  </si>
  <si>
    <t>ค่าบริการทำความสะอาด</t>
  </si>
  <si>
    <t>ค่าใช้จ่ายในการทำ - Forward contract</t>
  </si>
  <si>
    <t>ดอกเบี้ยจ่าย</t>
  </si>
  <si>
    <t>ดอกเบี้ยจ่าย  -  เงินเบิกเกินบัญชี</t>
  </si>
  <si>
    <t>ดอกเบี้ยจ่าย  -  เงินกู้ยืม</t>
  </si>
  <si>
    <t>ดอกเบี้ยจ่าย  -  ทรัสต์รีซีท</t>
  </si>
  <si>
    <t>ดอกเบี้ยจ่าย  -  ตั๋วเงินจ่าย</t>
  </si>
  <si>
    <t>ดอกเบี้ยจ่าย  -  ขายลดเช็ค</t>
  </si>
  <si>
    <t>ดอกเบี้ยจ่าย  -  เช็คคืน</t>
  </si>
  <si>
    <t>Deferred income - Mould</t>
  </si>
  <si>
    <t>ค่าใช้จ่ายอื่น</t>
  </si>
  <si>
    <t>ภาษีเงินได้นิติบุคคล</t>
  </si>
  <si>
    <t>Plant Move Project Expense</t>
  </si>
  <si>
    <t>Please input all Dr's as positive and all Cr's as negative.</t>
  </si>
  <si>
    <t xml:space="preserve">    Reclassification</t>
  </si>
  <si>
    <t>Change from</t>
  </si>
  <si>
    <t>Acccount</t>
  </si>
  <si>
    <t xml:space="preserve">    &amp; Adjustments</t>
  </si>
  <si>
    <t>Prior year</t>
  </si>
  <si>
    <t>code</t>
  </si>
  <si>
    <t>Account Name</t>
  </si>
  <si>
    <t>Ref</t>
  </si>
  <si>
    <t>Adjust't</t>
  </si>
  <si>
    <t>Dr</t>
  </si>
  <si>
    <t>Cr</t>
  </si>
  <si>
    <t>Baht</t>
  </si>
  <si>
    <t>x-ref</t>
  </si>
  <si>
    <t>B'000</t>
  </si>
  <si>
    <t>%</t>
  </si>
  <si>
    <t>Petty cash  -  Nakornpathom Plant</t>
  </si>
  <si>
    <t>Saving -  BBL  Plubplachai Branch</t>
  </si>
  <si>
    <t>Saving  -  TFB  Bhuddhamonthon Sai 4 Branch</t>
  </si>
  <si>
    <t>Saving  -  BBL  Plubplachai Branch (  USD )</t>
  </si>
  <si>
    <t>Obligation under employee reward program</t>
  </si>
  <si>
    <t>Total obligation under employee reward program</t>
  </si>
  <si>
    <t>Obligations under employe reward program</t>
  </si>
  <si>
    <t>Saving  -  Citibank  Head Office ( USD )</t>
  </si>
  <si>
    <t>Saving  -  Citibank  Head Office</t>
  </si>
  <si>
    <t>Current -  KTB   Yaowarad Branch</t>
  </si>
  <si>
    <t>Current -  TFB   Bhuddhamonthon Sai 4 Branch</t>
  </si>
  <si>
    <t>Current -  TMB   Head Office</t>
  </si>
  <si>
    <t>Current -  BBL   Bhuddhamonthon Sai 4 Branch</t>
  </si>
  <si>
    <t>Current -  Standard Charter Bank   Head Office</t>
  </si>
  <si>
    <t>Current -  Citibank    Head Office</t>
  </si>
  <si>
    <t>Current -  EXIM Bank   Head Office</t>
  </si>
  <si>
    <t>Overdraft  -  BBL   Plubplachai Branch</t>
  </si>
  <si>
    <t>Overdraft  -  NTB     Head Office</t>
  </si>
  <si>
    <t>Overdraft  -  SCB    Banglumpoo Branch  # 003-3-09145-2</t>
  </si>
  <si>
    <t>Overdraft  -  Sakura Bank     Head Office# 001-1-11262-6</t>
  </si>
  <si>
    <t>Total Cash</t>
  </si>
  <si>
    <t>Inventory</t>
  </si>
  <si>
    <t>Finished goods</t>
  </si>
  <si>
    <t>Raw materials</t>
  </si>
  <si>
    <t>Component materials</t>
  </si>
  <si>
    <t>Factory supply</t>
  </si>
  <si>
    <t>Packaging supply</t>
  </si>
  <si>
    <t>Spare parts</t>
  </si>
  <si>
    <t>Goods in transit</t>
  </si>
  <si>
    <t>Glass for casting acrylic sheets</t>
  </si>
  <si>
    <t>Provision for slow/dead stock</t>
  </si>
  <si>
    <t>Total Inventory</t>
  </si>
  <si>
    <t>Other current assets</t>
  </si>
  <si>
    <t>Accrued income - Interest income</t>
  </si>
  <si>
    <t>Accrued income - Import duties</t>
  </si>
  <si>
    <t>Prepaid exp. - W/H Tax</t>
  </si>
  <si>
    <t>Prepaid exp. - Insurance</t>
  </si>
  <si>
    <t>เจ้าหนี้ค่าซื้อสินทรัพย์ถาวร</t>
  </si>
  <si>
    <t>Prepaid exp. - Insurance  (Monomer S.)</t>
  </si>
  <si>
    <t>Prepaid exp. - Yearly Fee SET</t>
  </si>
  <si>
    <t>Prepaid exp. - Others</t>
  </si>
  <si>
    <t>Prepaid exp. - Import duty fee tax</t>
  </si>
  <si>
    <t>Prepaid exp. - Itermites - Eradicate Exp.</t>
  </si>
  <si>
    <t>Refundable VAT</t>
  </si>
  <si>
    <t>Other receivable - Revenue Dept. (VAT)</t>
  </si>
  <si>
    <t>Purchase duty (Input VAT)</t>
  </si>
  <si>
    <t>Output VAT</t>
  </si>
  <si>
    <t>Provision for not presented VAT</t>
  </si>
  <si>
    <t>Loans to employees</t>
  </si>
  <si>
    <t>Advance - Other</t>
  </si>
  <si>
    <t>Down Payment for Materials and Supplies</t>
  </si>
  <si>
    <t>Deposits - tank</t>
  </si>
  <si>
    <t>Deposits - other assets</t>
  </si>
  <si>
    <t>Down payment for property acquisition</t>
  </si>
  <si>
    <t>Deferred charge - Computer exp.</t>
  </si>
  <si>
    <t>Land for factory expansion - at cost</t>
  </si>
  <si>
    <t>A/R - Trade</t>
  </si>
  <si>
    <t>A/R - Foreign</t>
  </si>
  <si>
    <t>A/R - Domestic</t>
  </si>
  <si>
    <t>Total amounts due from affiliated</t>
  </si>
  <si>
    <t>A/P - Trade</t>
  </si>
  <si>
    <t xml:space="preserve">A/P - Foreign </t>
  </si>
  <si>
    <t>A/P - Foreign (Monomer  S.)</t>
  </si>
  <si>
    <t>Other payables - Domestic</t>
  </si>
  <si>
    <t>Other payables - Foreign</t>
  </si>
  <si>
    <t>Total amounts due to affiliated</t>
  </si>
  <si>
    <t>กำไรจากอัตราแลกเปลี่ยนที่ยังไม่เกิดขึ้นจริง</t>
  </si>
  <si>
    <t>Fixed Deposit</t>
  </si>
  <si>
    <t>Fixed Deposit - NTB (HO)</t>
  </si>
  <si>
    <t>Fixed Deposit - BBL (Phlapphla Chai)</t>
  </si>
  <si>
    <t>Note receivable</t>
  </si>
  <si>
    <t>Note receivable - City Corp.</t>
  </si>
  <si>
    <t>Total Short Term Investment</t>
  </si>
  <si>
    <t>Buildings</t>
  </si>
  <si>
    <t>Machinery and</t>
  </si>
  <si>
    <t>Office furniture,</t>
  </si>
  <si>
    <t>Machinery under</t>
  </si>
  <si>
    <t>Land</t>
  </si>
  <si>
    <t>Quarter 1'08</t>
  </si>
  <si>
    <t>Year ended 2007</t>
  </si>
  <si>
    <t>Sub Contractor - Overtime</t>
  </si>
  <si>
    <t>Improvement</t>
  </si>
  <si>
    <t>equipment</t>
  </si>
  <si>
    <t>fixtures, and equipment</t>
  </si>
  <si>
    <t>Motor vehicles</t>
  </si>
  <si>
    <t>installation</t>
  </si>
  <si>
    <t>Total</t>
  </si>
  <si>
    <t>Cost</t>
  </si>
  <si>
    <t>Additions</t>
  </si>
  <si>
    <t>Disposals</t>
  </si>
  <si>
    <t>Reclassification</t>
  </si>
  <si>
    <t>Accumulated Depreciation</t>
  </si>
  <si>
    <t>Depreciation charge</t>
  </si>
  <si>
    <t>Net book value</t>
  </si>
  <si>
    <t>A/P  Trade  - Domestic</t>
  </si>
  <si>
    <t>A/P -  Domestic</t>
  </si>
  <si>
    <t>A/P  Trade  - Foreign</t>
  </si>
  <si>
    <t>A/P - Foreign</t>
  </si>
  <si>
    <t>Total accounts payable-trade</t>
  </si>
  <si>
    <t>Deferred income</t>
  </si>
  <si>
    <t xml:space="preserve">Accured expenses </t>
  </si>
  <si>
    <t>Accrued exp. - W/H Tax</t>
  </si>
  <si>
    <t>Accrued exp. - Salary</t>
  </si>
  <si>
    <t>Accrued exp. - Bonus</t>
  </si>
  <si>
    <t>Accrued exp. - Power Exp.</t>
  </si>
  <si>
    <t>Accrued exp. - Telephone Exp.</t>
  </si>
  <si>
    <t>Accrued exp. - Rent</t>
  </si>
  <si>
    <t>Accrued exp. - Audit Fee</t>
  </si>
  <si>
    <t>Accrued exp. - Social security tax</t>
  </si>
  <si>
    <t>Accrued exp. - Provident fund</t>
  </si>
  <si>
    <t>Accrued exp. - Other</t>
  </si>
  <si>
    <t>Accrued exp. - Other (Monomer S.)</t>
  </si>
  <si>
    <t>Accrued exp. - Income tax</t>
  </si>
  <si>
    <t>Accured expenses - Shipping</t>
  </si>
  <si>
    <t>Accrued exp. - Value marine (shipping)</t>
  </si>
  <si>
    <t>Accrued exp. - Import dueites fee tax</t>
  </si>
  <si>
    <t>Accrued exp. - Director fee</t>
  </si>
  <si>
    <t>Other payables</t>
  </si>
  <si>
    <t>Other payables  (Monomer S.)</t>
  </si>
  <si>
    <t>300000</t>
  </si>
  <si>
    <t>Authorised share capital</t>
  </si>
  <si>
    <t>(12,150,000 shares of Baht 10 each)</t>
  </si>
  <si>
    <t xml:space="preserve">Issue and paid up </t>
  </si>
  <si>
    <t>Premium on share capital</t>
  </si>
  <si>
    <t>รายการที่ไม่ใช่เงินสด</t>
  </si>
  <si>
    <t>Retained earnings</t>
  </si>
  <si>
    <t>Appropriated retaining earnings</t>
  </si>
  <si>
    <t>323000</t>
  </si>
  <si>
    <t>Unappropriated</t>
  </si>
  <si>
    <t>ASSETS</t>
  </si>
  <si>
    <t>Current assets</t>
  </si>
  <si>
    <t>3000</t>
  </si>
  <si>
    <t>3700</t>
  </si>
  <si>
    <t>3200</t>
  </si>
  <si>
    <t>Inventories, net</t>
  </si>
  <si>
    <t>3440</t>
  </si>
  <si>
    <t>3300</t>
  </si>
  <si>
    <t>Total current assets</t>
  </si>
  <si>
    <t>Other assets</t>
  </si>
  <si>
    <t>Loans  to  Employees</t>
  </si>
  <si>
    <t>Property, plant and equipment, net</t>
  </si>
  <si>
    <t>3800</t>
  </si>
  <si>
    <t>TOTAL ASSETS</t>
  </si>
  <si>
    <t>LIABILITIES &amp; EQUITY</t>
  </si>
  <si>
    <t>Current liabilities</t>
  </si>
  <si>
    <t>Leashold right, net</t>
  </si>
  <si>
    <t>Accounts payable -  Related companied</t>
  </si>
  <si>
    <t>4000</t>
  </si>
  <si>
    <t>Amount due to related parties</t>
  </si>
  <si>
    <t>3600</t>
  </si>
  <si>
    <t>4100</t>
  </si>
  <si>
    <t>Accrued Expenses</t>
  </si>
  <si>
    <t>Other current liabilities</t>
  </si>
  <si>
    <t>Total current liabilities</t>
  </si>
  <si>
    <t>Total liabilities</t>
  </si>
  <si>
    <t>Shareholders' equity</t>
  </si>
  <si>
    <t>Share capital</t>
  </si>
  <si>
    <t>5000</t>
  </si>
  <si>
    <t>Authorized 12,150,000 shares, Baht 10 par value</t>
  </si>
  <si>
    <t>Issued and paid-up 12,150,000 shares, fully paid</t>
  </si>
  <si>
    <t xml:space="preserve">          Appropriated</t>
  </si>
  <si>
    <t xml:space="preserve">         Unappropriated</t>
  </si>
  <si>
    <t>TOTAL SHAREHOLDERS' EQUITY</t>
  </si>
  <si>
    <t xml:space="preserve">TOTAL LIABILITIES AND </t>
  </si>
  <si>
    <t>Difference</t>
  </si>
  <si>
    <t>A/R Trade - Domestic</t>
  </si>
  <si>
    <t>A/R - Domestic (Monomer  S.)</t>
  </si>
  <si>
    <t>A/R Trade - Foreign</t>
  </si>
  <si>
    <t>Post date cheques - Other companies</t>
  </si>
  <si>
    <t>Allowance for doubtful accounts</t>
  </si>
  <si>
    <t>Total accounts receivable, net</t>
  </si>
  <si>
    <t>Sales  -  Domestic</t>
  </si>
  <si>
    <t>Sales  -  Foreign</t>
  </si>
  <si>
    <t xml:space="preserve">RM Sold  -  Domestic </t>
  </si>
  <si>
    <t>Total Sales</t>
  </si>
  <si>
    <t>Sales Returns  -  Domestic</t>
  </si>
  <si>
    <t>Sales Returns  -  Foreign</t>
  </si>
  <si>
    <t>Sales Allowances  -  Domestic</t>
  </si>
  <si>
    <t>Sales Allowances  -  Foreign</t>
  </si>
  <si>
    <t>Toatal Sales Returns</t>
  </si>
  <si>
    <t>Total Sales, Net</t>
  </si>
  <si>
    <t>RAW MATERIALS - BEGINING</t>
  </si>
  <si>
    <t>add</t>
  </si>
  <si>
    <t>Purchased  RM  -  Domestic</t>
  </si>
  <si>
    <t>Purchased   RM -  Foreign</t>
  </si>
  <si>
    <t>Import Duty</t>
  </si>
  <si>
    <t>Import Clearance Exp.</t>
  </si>
  <si>
    <t>Freight</t>
  </si>
  <si>
    <t>less</t>
  </si>
  <si>
    <t>Purchased Return</t>
  </si>
  <si>
    <t>Purchased Allowances - Raw Materials</t>
  </si>
  <si>
    <t>Cost of  RM sold</t>
  </si>
  <si>
    <t>Raw material - Ending</t>
  </si>
  <si>
    <t>TOTAL RAW MATERIALS USED</t>
  </si>
  <si>
    <t>FACTORY OVERHEAD</t>
  </si>
  <si>
    <t>Fixed factory overhead</t>
  </si>
  <si>
    <t xml:space="preserve">Variable factory overhead </t>
  </si>
  <si>
    <t>TOTAL FACTORY OVERHEAD</t>
  </si>
  <si>
    <t>COST OF PRODUCTION</t>
  </si>
  <si>
    <t>Add</t>
  </si>
  <si>
    <t xml:space="preserve">  WORK IN PROCESS  -  BEGINING</t>
  </si>
  <si>
    <t>Less</t>
  </si>
  <si>
    <t xml:space="preserve">  WORK IN PROCESS  -  ENDING</t>
  </si>
  <si>
    <t>TOTAL COST OF PRODUCTION</t>
  </si>
  <si>
    <t>Cost of finished goods sold - offspec</t>
  </si>
  <si>
    <t>FINISHED GOODS  - BEGINING</t>
  </si>
  <si>
    <t>FINISHED GOODS  -  ENDING</t>
  </si>
  <si>
    <t>Version # 2</t>
  </si>
  <si>
    <t>TOTAL COST OF FINISHED GOODS SOLD</t>
  </si>
  <si>
    <t>TOTAL COST OF RAW MATERIAL SOLD</t>
  </si>
  <si>
    <t>TOTAL COST OF GOODS SOLD</t>
  </si>
  <si>
    <t>GROSS PROFIT</t>
  </si>
  <si>
    <t>Salaries and Wage</t>
  </si>
  <si>
    <t>Overtime Pay</t>
  </si>
  <si>
    <t>Bonus</t>
  </si>
  <si>
    <t>Welfare Expenses</t>
  </si>
  <si>
    <t>Security Expenses</t>
  </si>
  <si>
    <t>Building &amp; Land Tax</t>
  </si>
  <si>
    <t>Insurance  -  factory</t>
  </si>
  <si>
    <t>Insurance - Staff</t>
  </si>
  <si>
    <t>Rent</t>
  </si>
  <si>
    <t>Water</t>
  </si>
  <si>
    <t>Compensation expenses</t>
  </si>
  <si>
    <t>Social Security Expenses</t>
  </si>
  <si>
    <t>Provident  funds expenses</t>
  </si>
  <si>
    <t>Safety Health Enviroenment  Expenses</t>
  </si>
  <si>
    <t>License Expenses</t>
  </si>
  <si>
    <t>Fire-preveution</t>
  </si>
  <si>
    <t>Depreciation - Buildings</t>
  </si>
  <si>
    <t>Depreciation - Land and buildings improvements</t>
  </si>
  <si>
    <t>Interest Paid - Lease</t>
  </si>
  <si>
    <t>Depreciation - Machinery</t>
  </si>
  <si>
    <t>Depreciation - Vehicles</t>
  </si>
  <si>
    <t>Depreciation - Equipment</t>
  </si>
  <si>
    <t>Import Duty Refund</t>
  </si>
  <si>
    <t>TOTAL FIXED FACTORY OVERHEAD</t>
  </si>
  <si>
    <t>TOTAL VARIABLE FACTORY OVERHEAD</t>
  </si>
  <si>
    <t>Reclassify to recorded in DL 6100</t>
  </si>
  <si>
    <t>Q1'06</t>
  </si>
  <si>
    <t>ค่าแรงงานทางตรง - ค่าล่วงเวลา Contractor</t>
  </si>
  <si>
    <t>ค่าใช้จ่ายเกี่ยวกับ Plant move project</t>
  </si>
  <si>
    <t>Import  duty  fee payment  shortage</t>
  </si>
  <si>
    <t>Laboratory Expenses</t>
  </si>
  <si>
    <t>VARIABLE FACTORY OVERHEAD :-</t>
  </si>
  <si>
    <t>Fuel</t>
  </si>
  <si>
    <t>Repair and Maintenance</t>
  </si>
  <si>
    <t>Electricity</t>
  </si>
  <si>
    <t>Packaging</t>
  </si>
  <si>
    <t>Glass Mould Expenses</t>
  </si>
  <si>
    <t>Component Materials Used</t>
  </si>
  <si>
    <t>Before adjust</t>
  </si>
  <si>
    <t>Supplies Used</t>
  </si>
  <si>
    <t>Rent &amp; Transportation of MMA</t>
  </si>
  <si>
    <t>Miscellanous expenses</t>
  </si>
  <si>
    <t>Total Factory overhead</t>
  </si>
  <si>
    <t>Scrap Sold</t>
  </si>
  <si>
    <t>RM Sold</t>
  </si>
  <si>
    <t>Interest Income</t>
  </si>
  <si>
    <t>Miscellaneous Income</t>
  </si>
  <si>
    <t>Toll manufacture</t>
  </si>
  <si>
    <t>Profit &amp; loss on Exchange Rate</t>
  </si>
  <si>
    <t>Total Other Income</t>
  </si>
  <si>
    <t>SELLING EXPENSES :-</t>
  </si>
  <si>
    <t>Storage and Transportation</t>
  </si>
  <si>
    <t>Finished Goods Insurance</t>
  </si>
  <si>
    <t>Investigation and Inspection</t>
  </si>
  <si>
    <t xml:space="preserve">Advertising and Promotion </t>
  </si>
  <si>
    <t>Commissions   -   Domestic</t>
  </si>
  <si>
    <t>Commissions   -   Export</t>
  </si>
  <si>
    <t>Shipping Expenses</t>
  </si>
  <si>
    <t>Samples</t>
  </si>
  <si>
    <t>Entertainments</t>
  </si>
  <si>
    <t xml:space="preserve">    TOTAL SELLING EXPENSES</t>
  </si>
  <si>
    <t xml:space="preserve"> ADMINISTRATIVE EXPENSES :-</t>
  </si>
  <si>
    <t>Provident fund Expenses</t>
  </si>
  <si>
    <t>Stamp Tax</t>
  </si>
  <si>
    <t>Stationery and Printing</t>
  </si>
  <si>
    <t>Postage, Telegraph and Telephone</t>
  </si>
  <si>
    <t>Travelling Expenses</t>
  </si>
  <si>
    <t>Secondment Expenses</t>
  </si>
  <si>
    <t>Other Commissions</t>
  </si>
  <si>
    <t>Commision of L/G</t>
  </si>
  <si>
    <t>Petrol</t>
  </si>
  <si>
    <t>Import Duty  ( Previous year )</t>
  </si>
  <si>
    <t>Legal and Auditing Expenses</t>
  </si>
  <si>
    <t>Internal Audit</t>
  </si>
  <si>
    <t>Insurance  -  Asset</t>
  </si>
  <si>
    <t>Insurance  - Staff</t>
  </si>
  <si>
    <t>Bank Commission Expenses</t>
  </si>
  <si>
    <t>Donation</t>
  </si>
  <si>
    <t>Depreciation - Office furniture and equipment</t>
  </si>
  <si>
    <t>Depreciation -  Equipment</t>
  </si>
  <si>
    <t>Depreciation - Leasehold building improvements</t>
  </si>
  <si>
    <t>Signboard Tax</t>
  </si>
  <si>
    <t>Training and Seminar</t>
  </si>
  <si>
    <t>Apply for SET expenses</t>
  </si>
  <si>
    <t>Public Relation Expenses</t>
  </si>
  <si>
    <t>Underwriting Fees amortization</t>
  </si>
  <si>
    <t>Claim for goods sold</t>
  </si>
  <si>
    <t>Gift</t>
  </si>
  <si>
    <t>Common Stock Fees</t>
  </si>
  <si>
    <t>Amortization on Assets</t>
  </si>
  <si>
    <t>Annual Party</t>
  </si>
  <si>
    <t>Not presented VAT. Account</t>
  </si>
  <si>
    <t>ค่าตอบแทนกรรมการและผู้บริหาร</t>
  </si>
  <si>
    <t>Miscellaneous expenses</t>
  </si>
  <si>
    <t>Fine -  Police</t>
  </si>
  <si>
    <t>Shareholders Meeting Expenses</t>
  </si>
  <si>
    <t>Others expenses</t>
  </si>
  <si>
    <t>Adjustment from Legal - others</t>
  </si>
  <si>
    <t>Adjustment from Legal - leasing vehicle</t>
  </si>
  <si>
    <t>Fine</t>
  </si>
  <si>
    <t>ส่วนขาดจากการชำระภาษีนำเข้า</t>
  </si>
  <si>
    <t>Outside  service</t>
  </si>
  <si>
    <t>FCD expenses</t>
  </si>
  <si>
    <t>Computer Expenses</t>
  </si>
  <si>
    <t>Project AIM Expenses</t>
  </si>
  <si>
    <t>Quarter 1'07</t>
  </si>
  <si>
    <t>Q4'06</t>
  </si>
  <si>
    <t>รายจ่ายล่วงหน้า - ค่าธรรมเนียมรายปี SET</t>
  </si>
  <si>
    <t>ลูกหนี้อื่นๆ  -  บริษัทที่เกี่ยวข้องกัน</t>
  </si>
  <si>
    <t>ลูกหนี้อื่น ๆ  -  ค่าหุ้น</t>
  </si>
  <si>
    <t>ลูกหนี้อื่น ๆ  - ผู้ถือหุ้น</t>
  </si>
  <si>
    <t>ลูกหนี้อื่น ๆ - กรมสรรพากร ( VAT )</t>
  </si>
  <si>
    <t>ลูกหนี้อื่น ๆ - FCD.</t>
  </si>
  <si>
    <t>ลูกหนี้และเงินให้กู้ยืม - บ. ฮานาบิชิ ฯ จก.</t>
  </si>
  <si>
    <t>ลูกหนี้และเงินให้กู้ยืม - บ. แสงบุญสตาร์ไลท์ จก.</t>
  </si>
  <si>
    <t>ลูกหนี้และเงินให้กู้ยืม - ASIATIC ACRYLICS</t>
  </si>
  <si>
    <t>ลูกหนี้และเงินให้กู้ยืม - บ.ไอซีไอ 1996 (ประเทศไทย) จก.</t>
  </si>
  <si>
    <t>รายได้รับล่วงหน้า - ค่า Mould</t>
  </si>
  <si>
    <t>Sales  -  Intercompany</t>
  </si>
  <si>
    <t>Salaries and Wage - Contractor</t>
  </si>
  <si>
    <t>550113</t>
  </si>
  <si>
    <t>Rental vehical</t>
  </si>
  <si>
    <t>Rental office building</t>
  </si>
  <si>
    <t>Rental car park</t>
  </si>
  <si>
    <t xml:space="preserve">TOTAL ADMINISTRATIVE EXPENSES </t>
  </si>
  <si>
    <t>Doubtful  Dept</t>
  </si>
  <si>
    <t>Provision  finish goods for  sale</t>
  </si>
  <si>
    <t>Total Selling &amp; Admin Expenses</t>
  </si>
  <si>
    <t>Director fees</t>
  </si>
  <si>
    <t>Ended 31 Mar 2008 AND 2007</t>
  </si>
  <si>
    <t>ลูกหนี้อื่นๆ  -  บริษัทอื่น ๆ</t>
  </si>
  <si>
    <t>รายจ่ายรอการตัดบัญชี  -  ดอกเบี้ยจ่ายเงินกู้ยืม</t>
  </si>
  <si>
    <t>รายจ่ายค้างจ่าย  -  Share schem &amp; Pension fund</t>
  </si>
  <si>
    <t>แผนก</t>
  </si>
  <si>
    <t>แผนกบริการและจัดส่ง</t>
  </si>
  <si>
    <t>Director  Fees</t>
  </si>
  <si>
    <t>Board of Director Meeting Expenses</t>
  </si>
  <si>
    <t>Total Director fees</t>
  </si>
  <si>
    <t>Financial expenses</t>
  </si>
  <si>
    <t>Interest Paid - P/N</t>
  </si>
  <si>
    <t>Total financial income</t>
  </si>
  <si>
    <t>REVENUE</t>
  </si>
  <si>
    <t>Sales</t>
  </si>
  <si>
    <t>6000</t>
  </si>
  <si>
    <t>Other income</t>
  </si>
  <si>
    <t>Total Revenue</t>
  </si>
  <si>
    <t>EXPENSES</t>
  </si>
  <si>
    <t>Cost of sales</t>
  </si>
  <si>
    <t>6100</t>
  </si>
  <si>
    <t>Selling and Administrative Expenses</t>
  </si>
  <si>
    <t>Interest expenses</t>
  </si>
  <si>
    <t>6500</t>
  </si>
  <si>
    <t>6300-1</t>
  </si>
  <si>
    <t>Total Expenses</t>
  </si>
  <si>
    <t>Net profit (loss) before income tax</t>
  </si>
  <si>
    <t>Net profit (loss) for the period</t>
  </si>
  <si>
    <t>3 months</t>
  </si>
  <si>
    <t>6300</t>
  </si>
  <si>
    <t>6200</t>
  </si>
  <si>
    <t>ดอกเบี้ยตามสัญญาเช่าการเงินรอตัดจ่าย</t>
  </si>
  <si>
    <t>หนี้สินตามสัญญาเช่าการเงิน</t>
  </si>
  <si>
    <t>Non-Current liabilities</t>
  </si>
  <si>
    <t>Finance lease liabilities</t>
  </si>
  <si>
    <t>6100-1</t>
  </si>
  <si>
    <t>Finished Goods Purchased</t>
  </si>
  <si>
    <t>Bad Debt</t>
  </si>
  <si>
    <t>A/P Trust Receipt - SCB head office</t>
  </si>
  <si>
    <t>Total Loan from Finance Institution</t>
  </si>
  <si>
    <t>A/P - Foreign (Monomers)</t>
  </si>
  <si>
    <t>Accrued exp. - Interest expense</t>
  </si>
  <si>
    <t>Prepaid exp. - secretary of meeting</t>
  </si>
  <si>
    <t>A/P -  Domestic (Monomers)</t>
  </si>
  <si>
    <t>12 months</t>
  </si>
  <si>
    <t>Vehicles Maintenance Expenses</t>
  </si>
  <si>
    <t xml:space="preserve">160121/(165121), </t>
  </si>
  <si>
    <t>160130/(165130),</t>
  </si>
  <si>
    <t>160122/(165122)</t>
  </si>
  <si>
    <t>160120/(165120)</t>
  </si>
  <si>
    <t>160150/(165150)</t>
  </si>
  <si>
    <t>161110/(166110)</t>
  </si>
  <si>
    <t>160140/(165140)</t>
  </si>
  <si>
    <t xml:space="preserve">   Refundable import duties</t>
  </si>
  <si>
    <t>Prepaid exp.</t>
  </si>
  <si>
    <t>VAT receivable</t>
  </si>
  <si>
    <t xml:space="preserve"> Total prepaid exp.</t>
  </si>
  <si>
    <t xml:space="preserve">  Total refundable vat</t>
  </si>
  <si>
    <t xml:space="preserve"> Total current assets</t>
  </si>
  <si>
    <t>Loan to employees</t>
  </si>
  <si>
    <t>Deposits</t>
  </si>
  <si>
    <t>Net finance lease liabilities</t>
  </si>
  <si>
    <t>Accrued income tax</t>
  </si>
  <si>
    <t xml:space="preserve"> Total accrued expenses</t>
  </si>
  <si>
    <t>Finance lease liabilities -presentation</t>
  </si>
  <si>
    <t>Current portion</t>
  </si>
  <si>
    <t>Long-term</t>
  </si>
  <si>
    <t>Current portion - finance lease liabilities</t>
  </si>
  <si>
    <t>Share Capital</t>
  </si>
  <si>
    <t>Legal reserve</t>
  </si>
  <si>
    <t xml:space="preserve"> - B/F</t>
  </si>
  <si>
    <t xml:space="preserve"> - Increase during the year</t>
  </si>
  <si>
    <t xml:space="preserve"> - C/F</t>
  </si>
  <si>
    <t xml:space="preserve"> -B/F</t>
  </si>
  <si>
    <t xml:space="preserve"> - Net profit and loss for the year</t>
  </si>
  <si>
    <t xml:space="preserve"> - Appropriation to dividend payment</t>
  </si>
  <si>
    <t xml:space="preserve"> - Appropriation to legal reserve</t>
  </si>
  <si>
    <t>Total Shareholders' equity</t>
  </si>
  <si>
    <t>pwc</t>
  </si>
  <si>
    <t>Thai Poly Acrylic Public co.,Ltd.</t>
  </si>
  <si>
    <t>Property,plant and equipment</t>
  </si>
  <si>
    <t>Accrued exp. - W/H Tax -Shipping</t>
  </si>
  <si>
    <t>Finished Goods hire- produced</t>
  </si>
  <si>
    <t>Accrued exp. - Import tax</t>
  </si>
  <si>
    <t>Write off</t>
  </si>
  <si>
    <t xml:space="preserve">Level of test : variance amount over 500 KB and 15% </t>
  </si>
  <si>
    <t>Balance</t>
  </si>
  <si>
    <t>Diff.</t>
  </si>
  <si>
    <t>Provision for dead stock</t>
  </si>
  <si>
    <t>Leasehold Right</t>
  </si>
  <si>
    <t>SHAREHOLDERS' EQUITY</t>
  </si>
  <si>
    <t>6 months</t>
  </si>
  <si>
    <t>9 months</t>
  </si>
  <si>
    <t>Sample goods</t>
  </si>
  <si>
    <t>Fixed Factory Overhead</t>
  </si>
  <si>
    <t>Prior year &amp; period</t>
  </si>
  <si>
    <t>Others</t>
  </si>
  <si>
    <t>Amount due to related co,</t>
  </si>
  <si>
    <t>Amount due from related co.</t>
  </si>
  <si>
    <t>A</t>
  </si>
  <si>
    <t>Total Other current liabilities</t>
  </si>
  <si>
    <t xml:space="preserve">  Total other accounts payable</t>
  </si>
  <si>
    <t>Current -  Bank Thai   Head Office</t>
  </si>
  <si>
    <t>Loan to related companies</t>
  </si>
  <si>
    <t>Loan to Asiatic Acrytic</t>
  </si>
  <si>
    <t>DIRECT LABOR - Overtime</t>
  </si>
  <si>
    <t>Loss on Exchange Rate</t>
  </si>
  <si>
    <t>Cost of RM used in eliminating diseases</t>
  </si>
  <si>
    <t>Less : Income tax</t>
  </si>
  <si>
    <t>Expenses from plant move project</t>
  </si>
  <si>
    <t>B</t>
  </si>
  <si>
    <t>Loss on Sales of Assets</t>
  </si>
  <si>
    <t>Profit on Sales of Assets</t>
  </si>
  <si>
    <t>Year ended</t>
  </si>
  <si>
    <t xml:space="preserve"> Total other assets</t>
  </si>
  <si>
    <t>Quarter 2'06</t>
  </si>
  <si>
    <t>Quarter 3'06</t>
  </si>
  <si>
    <t>Year ended 2006</t>
  </si>
  <si>
    <t>แผนก Co.X</t>
  </si>
  <si>
    <t>Deferred charge - Forward Contract</t>
  </si>
  <si>
    <t>Other A/R - Forward Contract</t>
  </si>
  <si>
    <t>Other A/P - Forward Contract</t>
  </si>
  <si>
    <t>Net</t>
  </si>
  <si>
    <t>Other payables - Commission</t>
  </si>
  <si>
    <t>THAI POLY ACRYLIC PUBLIC COMPANY LIMITED</t>
  </si>
  <si>
    <t>Trial Balance</t>
  </si>
  <si>
    <t>Acct</t>
  </si>
  <si>
    <t>Dept</t>
  </si>
  <si>
    <t>YTD</t>
  </si>
  <si>
    <t>Code</t>
  </si>
  <si>
    <t>หลังปิดงบแล้ว</t>
  </si>
  <si>
    <t xml:space="preserve">      </t>
  </si>
  <si>
    <t>Casting</t>
  </si>
  <si>
    <t>Extrusion</t>
  </si>
  <si>
    <t>xx    no account  name   x</t>
  </si>
  <si>
    <t>Debtor per UK TB</t>
  </si>
  <si>
    <t>£</t>
  </si>
  <si>
    <t>Creditor per UK TB</t>
  </si>
  <si>
    <t>Thai poly Acrylics</t>
  </si>
  <si>
    <t>ต้นทุนขายและบริการ</t>
  </si>
  <si>
    <t>กำไรก่อนต้นทุนทางการเงินและภาษีเงินได้</t>
  </si>
  <si>
    <t>ต้นทุนทางการเงิน - ดอกเบี้ยจ่าย</t>
  </si>
  <si>
    <t>งบแสดงการเปลี่ยนแปลงส่วนของผู้ถือหุ้น</t>
  </si>
  <si>
    <t>ยอดคงเหลือต้นงวดวันที่ 1 มกราคม พ.ศ. 2552</t>
  </si>
  <si>
    <t>ยอดคงเหลือปลายงวดวันที่ 31 มีนาคม พ.ศ. 2552</t>
  </si>
  <si>
    <t>ยอดคงเหลือต้นงวดวันที่ 1 มกราคม พ.ศ. 2551</t>
  </si>
  <si>
    <t>ยอดคงเหลือปลายงวดวันที่ 31 มีนาคม พ.ศ. 2551</t>
  </si>
  <si>
    <t>หมายเหตุประกอบงบการเงินในหน้า 7 ถึง 15 เป็นส่วนหนึ่งของงบการเงินระหว่างกาลนี้</t>
  </si>
  <si>
    <t>จ่ายชำระหนี้สินตามสัญญาเช่าการเงิน</t>
  </si>
  <si>
    <t>Pound</t>
  </si>
  <si>
    <t>Selling</t>
  </si>
  <si>
    <t>Buying</t>
  </si>
  <si>
    <t>TPA Creditor</t>
  </si>
  <si>
    <t>TPA Debtor</t>
  </si>
  <si>
    <t>Accrued Expenses  -  Witholding tax - VALUE MARINE</t>
  </si>
  <si>
    <t>Total Raw Materials</t>
  </si>
  <si>
    <t>Total Other Materials</t>
  </si>
  <si>
    <t>Reclassify secretary</t>
  </si>
  <si>
    <t>Reclassified director fee (secretary)</t>
  </si>
  <si>
    <t>-</t>
  </si>
  <si>
    <t>Per detail client</t>
  </si>
  <si>
    <t>FG</t>
  </si>
  <si>
    <t>RM</t>
  </si>
  <si>
    <t>Accrued exp. - Dividend expense</t>
  </si>
  <si>
    <t>Per GL</t>
  </si>
  <si>
    <t>OPENING INVENTORY</t>
  </si>
  <si>
    <t>CLOSING INVENTORY</t>
  </si>
  <si>
    <t>C</t>
  </si>
  <si>
    <t>D</t>
  </si>
  <si>
    <t>E</t>
  </si>
  <si>
    <t>F</t>
  </si>
  <si>
    <t>G</t>
  </si>
  <si>
    <t>H</t>
  </si>
  <si>
    <t>Accounts payable - Trade</t>
  </si>
  <si>
    <t>Year Ended</t>
  </si>
  <si>
    <t>Accrued exp. - Commision (local)</t>
  </si>
  <si>
    <t>Accrued exp. - Commision (foreign)</t>
  </si>
  <si>
    <t>Service income (Toll manufacture)</t>
  </si>
  <si>
    <t>Adjustment</t>
  </si>
  <si>
    <t>Other receivable- interest income</t>
  </si>
  <si>
    <t>อาคารและสิ่งปลูกสร้างอื่น</t>
  </si>
  <si>
    <t>ส่วนปรับปรุงอาคาร</t>
  </si>
  <si>
    <t>เงินฝากกระแสรายวัน - ธ. ซูมิโตโม มิตซุย (เดิม ธ.ซากุระ) สำนักงานใหญ่ # 001-1-11262-6</t>
  </si>
  <si>
    <t>ค่าเผื่อสินค้าล้าสมัย</t>
  </si>
  <si>
    <t>Import duty refund</t>
  </si>
  <si>
    <t>­</t>
  </si>
  <si>
    <t xml:space="preserve">เงินสดย่อย </t>
  </si>
  <si>
    <t>เงินสดย่อย - สำนักงานปิ่นเกล้า</t>
  </si>
  <si>
    <t>เงินสดย่อย - โรงงานนครปฐม</t>
  </si>
  <si>
    <t>เงินฝากธนาคาร</t>
  </si>
  <si>
    <t>เงินฝากประจำ  -  ธ.นครธน    สำนักงานใหญ่</t>
  </si>
  <si>
    <t>เงินฝากประจำ  -  ธ.กรุงไทย   สาขา เยาวราช</t>
  </si>
  <si>
    <t>เงินฝากประจำ  -  ธ.กรุงเทพ    สาขา พลับพลาไชย</t>
  </si>
  <si>
    <t>เงินฝากประจำ  -  ธ.ซากุระ      สำนักงานใหญ่</t>
  </si>
  <si>
    <t>เงินฝากประจำ  -  ธ.กรุงเทพ     สาขา พุทธมณฑล สาย 4</t>
  </si>
  <si>
    <t>เงินฝากสะสมทรัพย์  -  ธ.กรุงเทพ      สาขา พลับพลาไชย</t>
  </si>
  <si>
    <t>เงินฝากสะสมทรัพย์  -  ธ.กสิกรไทย   สาขา พุทธมณฑลสาย 4</t>
  </si>
  <si>
    <t>เงินฝากสะสมทรัพย์  -  ธ.กรุงเทพ       สาขา พลับพลาไชย   (USD)</t>
  </si>
  <si>
    <t>เงินฝากสะสมทรัพย์  -  ธ.ซิตี้แบ้งก์     สำนักงานใหญ่          (USD)</t>
  </si>
  <si>
    <t>Diff</t>
  </si>
  <si>
    <t>เงินฝากสะสมทรัพย์  -  ธ.ซิตี้แบ้งก์     สำนักงานใหญ่</t>
  </si>
  <si>
    <t>เงินฝากกระแสรายวัน -  ธ.ไทยพาณิชย์    สำนักงานใหญ่</t>
  </si>
  <si>
    <t>เงินฝากกระแสรายวัน -  ธ.กรุงเทพ     สาขา อ้อมน้อย</t>
  </si>
  <si>
    <t>เงินฝากกระแสรายวัน -  ธ.กรุงไทย     สาขา เยาวราช</t>
  </si>
  <si>
    <t>เงินฝากกระแสรายวัน -  ธ.กสิกรไทย  สาขา พุทธมณฑลสาย 4</t>
  </si>
  <si>
    <t>เงินฝากกระแสรายวัน -  ธ.ทหารไทย   สำนักงานใหญ่</t>
  </si>
  <si>
    <t>เงินฝากกระแสรายวัน -  ธ.กรุงเทพ      สาขา พุทธมณฑลสาย4</t>
  </si>
  <si>
    <t>เงินฝากกระแสรายวัน -  ธ.แสตนดาร์ดชาร์เตอร์    สำนักงานใหญ่</t>
  </si>
  <si>
    <t>เงินฝากกระแสรายวัน -  ธ.ซิตี้แบงก์     สำนักงานใหญ่</t>
  </si>
  <si>
    <t>เงินฝากกระแสรายวัน -  ธ.เอ๊กซิมแบงก์     สำนักงานใหญ่</t>
  </si>
  <si>
    <t>เงินฝากกระแสรายวัน -  ธ.ไทยธนาคาร    สำนักงานใหญ่</t>
  </si>
  <si>
    <t>ตั๋วเงินรับ  บริษัทการเงิน</t>
  </si>
  <si>
    <t>ตั๋วเงินรับ - บงล. G.F.</t>
  </si>
  <si>
    <t>ตั๋วเงินรับ - บงล. เอกธนา</t>
  </si>
  <si>
    <t>ตั๋วเงินรับ - บงล. FCI</t>
  </si>
  <si>
    <t>ตั๋วเงินรับ - บงล. ภัทรธนกิจ</t>
  </si>
  <si>
    <t>ตั๋วเงินรับ - บงล. วอลล์สตรีท</t>
  </si>
  <si>
    <t>ตั๋วเงินรับ - บงล.คาเธ่ย์ทรัสต์</t>
  </si>
  <si>
    <t>ตั๋วเงินรับ - บงล. ซิทก้า</t>
  </si>
  <si>
    <t>ตั๋วเงินรับ - บงล. ศรีมิตร</t>
  </si>
  <si>
    <t>ตั๋วเงินรับ - บงล. แปซิฟิค</t>
  </si>
  <si>
    <t>ตั๋วเงินรับ - บงล. ไอทีเอฟ</t>
  </si>
  <si>
    <t>ตั๋วเงินรับ - บงล. เกียรตินาคิน</t>
  </si>
  <si>
    <t>- Dividend paid</t>
  </si>
  <si>
    <t>ตั๋วเงินรับ - บงล. ไทยโอเวอร์ซี ทรัสต์</t>
  </si>
  <si>
    <t>ตั๋วเงินรับ - บงล. ธนชาติ</t>
  </si>
  <si>
    <t>ตั๋วเงินรับ - บงล.ซิตี้คอร์ป</t>
  </si>
  <si>
    <t>ตั๋วเงินรับ - บงล.เอกธนกิจ</t>
  </si>
  <si>
    <t>ลูกหนี้การค้า และตั๋วเงินรับ</t>
  </si>
  <si>
    <t>ลูกหนี้การค้า  - ในประเทศ</t>
  </si>
  <si>
    <t>แผนก CASTING</t>
  </si>
  <si>
    <t>แผนก EXTRUSION</t>
  </si>
  <si>
    <t>ลูกหนี้การค้า  -  ต่างประเทศ</t>
  </si>
  <si>
    <t>ลูกหนี้การค้า  -  ต่างประเทศ  ( บริษัทที่เกี่ยวข้องกัน )</t>
  </si>
  <si>
    <t>ลูกหนี้การค้า  - ในประเทศ    ( บริษัทที่เกี่ยวข้องกัน )</t>
  </si>
  <si>
    <t>ลูกหนี้การค้า  - ในประเทศ    ( Monomer S. )</t>
  </si>
  <si>
    <t>แผนก MMA</t>
  </si>
  <si>
    <t>แผนก TISP</t>
  </si>
  <si>
    <t>แผนก MAA</t>
  </si>
  <si>
    <t>ค่าเผื่อหนี้สงสัยจะสูญ</t>
  </si>
  <si>
    <t>เช็ครับลงวันที่ล่วงหน้า</t>
  </si>
  <si>
    <t>เช็ครับลงวันที่ล่วงหน้า  - อื่น ๆ</t>
  </si>
  <si>
    <t>เช็ครับลงวันที่ล่วงหน้า  - บริษัทที่เกี่ยวข้องกัน</t>
  </si>
  <si>
    <t>สินค้าคงเหลือ</t>
  </si>
  <si>
    <t>สินค้าสำเร็จรูป</t>
  </si>
  <si>
    <t>วัตถุดิบ</t>
  </si>
  <si>
    <t>วัสดุประกอบ</t>
  </si>
  <si>
    <t>วัสดุสิ้นเปลืองโรงงาน</t>
  </si>
  <si>
    <t>วัสดุหีบห่อ</t>
  </si>
  <si>
    <t>อะไหล่</t>
  </si>
  <si>
    <t>สินค้าระหว่างผลิต</t>
  </si>
  <si>
    <t>วัตถุดิบและวัสดุระหว่างทาง</t>
  </si>
  <si>
    <t>วัตถุดิบและวัสดุระหว่างทาง - (Monomer S.)</t>
  </si>
  <si>
    <t>เงินวางประกันวัตถุดิบและวัสดุ</t>
  </si>
  <si>
    <t>สำรองสค. คาดว่าขายได้ต่ำกว่าทุน</t>
  </si>
  <si>
    <t>สินทรัพย์หมุนเวียนอื่น</t>
  </si>
  <si>
    <t>แบบพิมพ์กระจกคงเหลือ</t>
  </si>
  <si>
    <t>รายได้ค้างรับ</t>
  </si>
  <si>
    <t>สิ่งปลูกสร้างระหว่างทำ - Plant move project</t>
  </si>
  <si>
    <t>Sales of production scrap</t>
  </si>
  <si>
    <t>ค่าเสื่อมราคาสะสม  - ส่วนปรับปรุงสิ่งปลูกสร้างและส่วนประกอบ</t>
  </si>
  <si>
    <t>ค่าเสื่อมราคา  -  ส่วนปรับปรุงสิ่งปลูกสร้าง และ ส่วนประกอบ</t>
  </si>
  <si>
    <t>ค่า Share Scheme</t>
  </si>
  <si>
    <t>ค่าปรึกษากฎหมายและค่าสอบบัญชี</t>
  </si>
  <si>
    <t>ค่าเสื่อมราคา  -  ส่วนปรับปรุง สิ่งปลูกสร้างและส่วนประกอบ</t>
  </si>
  <si>
    <t>DIRECT LABOR</t>
  </si>
  <si>
    <t>DIRECT LABOR - Contractor</t>
  </si>
  <si>
    <t>Share Scheme</t>
  </si>
  <si>
    <t>Accrued exp. - Shipping-Other</t>
  </si>
  <si>
    <t>รายได้ค้างรับ  -   ดอกเบี้ย</t>
  </si>
  <si>
    <t>รายได้ค้างรับ  -   เงินได้ชดเชย ม.19 ทวิ</t>
  </si>
  <si>
    <t>รายจ่ายล่วงหน้า</t>
  </si>
  <si>
    <t>รายจ่ายล่วงหน้า - ดอกเบี้ย</t>
  </si>
  <si>
    <t>รายจ่ายล่วงหน้า - ภาษีหัก ณ ที่จ่าย</t>
  </si>
  <si>
    <t>Reclassify to inter company</t>
  </si>
  <si>
    <t>Reclassify from accrued liabilities</t>
  </si>
  <si>
    <t>Prior period</t>
  </si>
  <si>
    <t>รายจ่ายล่วงหน้า - เบี้ยประกัน</t>
  </si>
  <si>
    <t>รายจ่ายล่วงหน้า - เบี้ยประกัน (Monomer S.)</t>
  </si>
  <si>
    <t>After adjust</t>
  </si>
  <si>
    <t>Prior Period</t>
  </si>
  <si>
    <t>รายจ่ายล่วงหน้า - ค่าโทรศัพท์</t>
  </si>
  <si>
    <t xml:space="preserve">           -</t>
  </si>
  <si>
    <t>รายจ่ายล่วงหน้า - เงินปันผล</t>
  </si>
  <si>
    <t>รายจ่ายล่วงหน้า - ค่าโฆษณา</t>
  </si>
  <si>
    <t>รายจ่ายล่วงหน้า - อื่น ๆ</t>
  </si>
  <si>
    <t>รายจ่ายล่วงหน้า - ค่าภาษีอากร</t>
  </si>
  <si>
    <t>รายจ่ายล่วงหน้า - ค่าภาษีอากร ( Monomer S. )</t>
  </si>
  <si>
    <t>Up front (Net)</t>
  </si>
  <si>
    <t>NBV (Disposal)</t>
  </si>
  <si>
    <t>NBV(Write off)</t>
  </si>
  <si>
    <t>รายจ่ายล่วงหน้า - ค่ากำจัดปลวก</t>
  </si>
  <si>
    <t>รายจ่ายล่วงหน้า - เลขาการประชุม</t>
  </si>
  <si>
    <t>ลูกหนี้เงินให้กู้ยืมแก่พนักงาน</t>
  </si>
  <si>
    <t>ค่าภาษีซื้อ</t>
  </si>
  <si>
    <t>เงินทดรองจ่าย - ฉันท์บริการ</t>
  </si>
  <si>
    <t>เงินทดรองจ่าย - แวลูมารีน</t>
  </si>
  <si>
    <t>เงินทดรองจ่าย - เอฟ ที เอส ทรานสปอท</t>
  </si>
  <si>
    <t>เงินทดรองจ่าย - อื่น</t>
  </si>
  <si>
    <t>A)</t>
  </si>
  <si>
    <t>PwC Workdone.</t>
  </si>
  <si>
    <t>A) Agree to the prior year financial statement with no exception found.</t>
  </si>
  <si>
    <t>ค่าเผื่อ VAT ที่ยังไม่ได้รับใบกำกับภาษี</t>
  </si>
  <si>
    <t>ลูกหนี้และเงินให้กู้ยืมแก่กรรมการ</t>
  </si>
  <si>
    <t>ลูกหนี้และเงินให้กู้ยืมแก่ บริษัทที่เกี่ยวข้องกัน</t>
  </si>
  <si>
    <t>เงินลงทุน</t>
  </si>
  <si>
    <t>เงินลงทุน - บ.ไทยโพลีกลาส จก.</t>
  </si>
  <si>
    <t>ที่ดิน อาคาร และอุปกรณ์</t>
  </si>
  <si>
    <t>ที่ดิน</t>
  </si>
  <si>
    <t>ที่ดินเพื่อการขยายโรงงาน - ราคาทุน</t>
  </si>
  <si>
    <t>แผนกผลิตพลาสติกแผ่น(ส่วนกลาง)</t>
  </si>
  <si>
    <t>แผนกEXTRUSION(ส่วนกลาง)</t>
  </si>
  <si>
    <t>แผนกบริหารทั่วไป</t>
  </si>
  <si>
    <t>ส่วนปรับปรุงอาคารเช่า</t>
  </si>
  <si>
    <t>เครื่องจักรและอุปกรณ์</t>
  </si>
  <si>
    <t>แผนกขัดกระจก</t>
  </si>
  <si>
    <t>แผนกกะ ABC</t>
  </si>
  <si>
    <t>แผนกบ่อ เตา ABC</t>
  </si>
  <si>
    <t>แผนกเคมี</t>
  </si>
  <si>
    <t>แผนกสาย PVC</t>
  </si>
  <si>
    <t>แผนกปะกระดาษ</t>
  </si>
  <si>
    <t>แผนกตัดพลาสติก</t>
  </si>
  <si>
    <t>แผนกอัดลอน</t>
  </si>
  <si>
    <t>แผนกเศษพลาสติก</t>
  </si>
  <si>
    <t>แผนกช่อมบำรุง</t>
  </si>
  <si>
    <t>แผนกผลิต ABS/HI.PS</t>
  </si>
  <si>
    <t>แผนกผลิต PP,PE</t>
  </si>
  <si>
    <t>แผนกวิจัยและพัฒนา</t>
  </si>
  <si>
    <t>แผนกผลิต PP-PROFILE</t>
  </si>
  <si>
    <t>แผนก Technicial Center</t>
  </si>
  <si>
    <t>ยานพาหนะ</t>
  </si>
  <si>
    <t>แผนกคลังสินค้า</t>
  </si>
  <si>
    <t>แผนกขายวัตถุดิบ</t>
  </si>
  <si>
    <t>เครื่องมือเครื่องใช้ต่าง ๆ</t>
  </si>
  <si>
    <t>แผนกวางแผนการผลิต (จัดซื้อ)</t>
  </si>
  <si>
    <t>แผนกบุคคล</t>
  </si>
  <si>
    <t>แผนกบัญชี การเงิน</t>
  </si>
  <si>
    <t>แผนกขายในประเทศ</t>
  </si>
  <si>
    <t>แผนกรักษาความปลอดภัย</t>
  </si>
  <si>
    <t>เครื่องใช้สำนักงาน</t>
  </si>
  <si>
    <t>แผนกผลิตภัณฑ์สำเร็จรูป</t>
  </si>
  <si>
    <t>แผนกขายต่างประเทศ</t>
  </si>
  <si>
    <t>แผนกพัฒนาระบบ (ISO 9000)</t>
  </si>
  <si>
    <t>สิ่งปลูกสร้างระหว่างทำ</t>
  </si>
  <si>
    <t>งานระหว่างติดตั้ง</t>
  </si>
  <si>
    <t>เครื่องจักรระหว่างทาง</t>
  </si>
  <si>
    <t>162110-1, 162120-4</t>
  </si>
  <si>
    <t>Q1'2008</t>
  </si>
  <si>
    <t>Beginning balance, 31 Dec 2007</t>
  </si>
  <si>
    <t>Ending balance, 31 Mar 2008</t>
  </si>
  <si>
    <t>&gt;&gt; Immaterial, waived</t>
  </si>
  <si>
    <t>Q2'2008</t>
  </si>
  <si>
    <t>Ending balance, 30 Jun 2008</t>
  </si>
  <si>
    <t>Q3'2008</t>
  </si>
  <si>
    <t>Ending balance, 30 Sep 2008</t>
  </si>
  <si>
    <t>Q4'2008</t>
  </si>
  <si>
    <t>Client adjustment</t>
  </si>
  <si>
    <t>Ending balance, 31 Dec 2008</t>
  </si>
  <si>
    <t>SUMMARY_31.12.2008</t>
  </si>
  <si>
    <t>Audit Adjustment</t>
  </si>
  <si>
    <t>Client Adjustment</t>
  </si>
  <si>
    <t>ค่าใช้จ่ายในการบริหาร</t>
  </si>
  <si>
    <t>ค่าใช้จ่ายในการขาย</t>
  </si>
  <si>
    <t>รายได้จากการขายเศษซากจากการผลิต</t>
  </si>
  <si>
    <t>A) Agree prior year balance to the last year FS and sheet 'Control BS' with no exception note.</t>
  </si>
  <si>
    <t>TOTAL</t>
  </si>
  <si>
    <t>A) Agree to the prior year financial statement and sheet 'Control PL' with no exception found.</t>
  </si>
  <si>
    <t>Total Sales per Control PL</t>
  </si>
  <si>
    <t>144000 and 144001</t>
  </si>
  <si>
    <t>Other receivable</t>
  </si>
  <si>
    <t>A) Agree to the sheet '6100' with no exception found.</t>
  </si>
  <si>
    <t>เครื่องมือเครื่องใช้ ระหว่างติดตั้ง</t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</si>
</sst>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%"/>
    <numFmt numFmtId="202" formatCode="_(* #,##0_);_(* \(#,##0\);_(* &quot;-&quot;??_);_(@_)"/>
    <numFmt numFmtId="203" formatCode="mmmm\ d\,\ yyyy"/>
    <numFmt numFmtId="204" formatCode="_(* #,##0.00_);_(* \(#,##0.00\);_(* &quot;-&quot;_);_(@_)"/>
    <numFmt numFmtId="205" formatCode="_-* #,##0.00_-;[Red]\(#,##0.00\)_-;_-* &quot;-&quot;??_-;_-@_-"/>
    <numFmt numFmtId="206" formatCode="_(* #,##0,_);_(* \(#,##0\);_(* &quot;-&quot;??_);_(@_)"/>
    <numFmt numFmtId="207" formatCode="_(* #,##0,_);_(* \(#,##0,\);_(* &quot;-&quot;??_);_(@_)"/>
    <numFmt numFmtId="208" formatCode="_-* #,##0_-;\-* #,##0_-;_-* &quot;-&quot;??_-;_-@_-"/>
    <numFmt numFmtId="209" formatCode="#,##0.00_ ;[Red]\-#,##0.00\ "/>
    <numFmt numFmtId="210" formatCode="#,##0;\(#,##0\)"/>
    <numFmt numFmtId="211" formatCode="0%;\(0%\)"/>
    <numFmt numFmtId="212" formatCode="&quot;$&quot;#,##0_);\(&quot;$&quot;#,##0\)"/>
    <numFmt numFmtId="213" formatCode="&quot;Rp&quot;#,##0.00_);\(&quot;Rp&quot;#,##0.00\)"/>
    <numFmt numFmtId="214" formatCode="_ &quot;\&quot;* #,##0_ ;_ &quot;\&quot;* \-#,##0_ ;_ &quot;\&quot;* &quot;-&quot;_ ;_ @_ "/>
    <numFmt numFmtId="215" formatCode="_ * #,##0_ ;_ * \-#,##0_ ;_ * &quot;-&quot;_ ;_ @_ "/>
    <numFmt numFmtId="216" formatCode="_ &quot;\&quot;* #,##0.00_ ;_ &quot;\&quot;* \-#,##0.00_ ;_ &quot;\&quot;* &quot;-&quot;??_ ;_ @_ "/>
    <numFmt numFmtId="217" formatCode="_ * #,##0.00_ ;_ * \-#,##0.00_ ;_ * &quot;-&quot;??_ ;_ @_ "/>
    <numFmt numFmtId="218" formatCode="000\-000"/>
    <numFmt numFmtId="219" formatCode="0_ "/>
    <numFmt numFmtId="220" formatCode="_-* #,##0\ &quot;mk&quot;_-;\-* #,##0\ &quot;mk&quot;_-;_-* &quot;-&quot;\ &quot;mk&quot;_-;_-@_-"/>
    <numFmt numFmtId="221" formatCode="_-* #,##0\ _m_k_-;\-* #,##0\ _m_k_-;_-* &quot;-&quot;\ _m_k_-;_-@_-"/>
    <numFmt numFmtId="222" formatCode="_-* #,##0.00\ &quot;mk&quot;_-;\-* #,##0.00\ &quot;mk&quot;_-;_-* &quot;-&quot;??\ &quot;mk&quot;_-;_-@_-"/>
    <numFmt numFmtId="223" formatCode="_-* #,##0.00\ _m_k_-;\-* #,##0.00\ _m_k_-;_-* &quot;-&quot;??\ _m_k_-;_-@_-"/>
    <numFmt numFmtId="224" formatCode="_(&quot;฿&quot;* #,##0_);_(&quot;฿&quot;* \(#,##0\);_(&quot;฿&quot;* &quot;-&quot;_);_(@_)"/>
    <numFmt numFmtId="225" formatCode="#,##0\ \ ;\(#,##0\)\ ;\—\ \ \ \ "/>
    <numFmt numFmtId="226" formatCode="&quot;$&quot;#,##0_);[Red]\(&quot;$&quot;#,##0\)"/>
    <numFmt numFmtId="227" formatCode="&quot;$&quot;#,##0.00_);\(&quot;$&quot;#,##0.00\)"/>
    <numFmt numFmtId="228" formatCode="&quot;$&quot;#,##0.00_);[Red]\(&quot;$&quot;#,##0.00\)"/>
    <numFmt numFmtId="229" formatCode="t&quot;$&quot;#,##0_);\(t&quot;$&quot;#,##0\)"/>
    <numFmt numFmtId="230" formatCode="t&quot;$&quot;#,##0_);[Red]\(t&quot;$&quot;#,##0\)"/>
    <numFmt numFmtId="231" formatCode="t&quot;$&quot;#,##0.00_);\(t&quot;$&quot;#,##0.00\)"/>
    <numFmt numFmtId="232" formatCode="t&quot;$&quot;#,##0.00_);[Red]\(t&quot;$&quot;#,##0.00\)"/>
    <numFmt numFmtId="233" formatCode="#,##0.00;\(#,##0.00\)"/>
    <numFmt numFmtId="234" formatCode="#,##0.0;\(#,##0.0\)"/>
    <numFmt numFmtId="235" formatCode="_(* #,##0.0_);_(* \(#,##0.0\);_(* &quot;-&quot;_);_(@_)"/>
    <numFmt numFmtId="236" formatCode="&quot;Yes&quot;;&quot;Yes&quot;;&quot;No&quot;"/>
    <numFmt numFmtId="237" formatCode="&quot;True&quot;;&quot;True&quot;;&quot;False&quot;"/>
    <numFmt numFmtId="238" formatCode="&quot;On&quot;;&quot;On&quot;;&quot;Off&quot;"/>
    <numFmt numFmtId="239" formatCode="[$€-2]\ #,##0.00_);[Red]\([$€-2]\ #,##0.00\)"/>
    <numFmt numFmtId="240" formatCode="_-* #,##0.0_-;\-* #,##0.0_-;_-* &quot;-&quot;??_-;_-@_-"/>
    <numFmt numFmtId="241" formatCode="0.0"/>
    <numFmt numFmtId="242" formatCode="[$-1010409]d\ mmm\ yy;@"/>
    <numFmt numFmtId="243" formatCode="#,##0.0_ ;[Red]\-#,##0.0\ "/>
    <numFmt numFmtId="244" formatCode="#,##0_ ;[Red]\-#,##0\ "/>
    <numFmt numFmtId="245" formatCode="_(* #,##0.0_);_(* \(#,##0.0\);_(* &quot;-&quot;??_);_(@_)"/>
  </numFmts>
  <fonts count="96">
    <font>
      <sz val="14"/>
      <name val="Cordia New"/>
      <family val="0"/>
    </font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4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Times New Roman"/>
      <family val="1"/>
    </font>
    <font>
      <sz val="8"/>
      <name val="Cordia New"/>
      <family val="0"/>
    </font>
    <font>
      <b/>
      <u val="single"/>
      <sz val="8"/>
      <color indexed="12"/>
      <name val="Arial"/>
      <family val="2"/>
    </font>
    <font>
      <b/>
      <sz val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9"/>
      <name val="Microsoft Sans Serif"/>
      <family val="2"/>
    </font>
    <font>
      <sz val="8"/>
      <name val="Microsoft Sans Serif"/>
      <family val="2"/>
    </font>
    <font>
      <b/>
      <sz val="8"/>
      <name val="Tahoma"/>
      <family val="0"/>
    </font>
    <font>
      <sz val="8"/>
      <name val="Tahoma"/>
      <family val="0"/>
    </font>
    <font>
      <sz val="8"/>
      <color indexed="12"/>
      <name val="Arial"/>
      <family val="2"/>
    </font>
    <font>
      <b/>
      <u val="single"/>
      <sz val="8"/>
      <color indexed="10"/>
      <name val="Arial"/>
      <family val="2"/>
    </font>
    <font>
      <b/>
      <sz val="8"/>
      <color indexed="14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14"/>
      <color indexed="62"/>
      <name val="Cordia New"/>
      <family val="0"/>
    </font>
    <font>
      <u val="single"/>
      <sz val="8"/>
      <color indexed="12"/>
      <name val="Arial"/>
      <family val="2"/>
    </font>
    <font>
      <sz val="8"/>
      <color indexed="14"/>
      <name val="Arial"/>
      <family val="2"/>
    </font>
    <font>
      <sz val="8"/>
      <color indexed="61"/>
      <name val="Arial"/>
      <family val="2"/>
    </font>
    <font>
      <sz val="8"/>
      <color indexed="48"/>
      <name val="Arial"/>
      <family val="2"/>
    </font>
    <font>
      <b/>
      <sz val="10"/>
      <name val="MS Sans Serif"/>
      <family val="0"/>
    </font>
    <font>
      <b/>
      <sz val="10"/>
      <name val="Tms Rmn"/>
      <family val="0"/>
    </font>
    <font>
      <sz val="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Times New Roman"/>
      <family val="0"/>
    </font>
    <font>
      <b/>
      <sz val="12"/>
      <name val="Arial"/>
      <family val="2"/>
    </font>
    <font>
      <sz val="14"/>
      <name val="CordiaUPC"/>
      <family val="0"/>
    </font>
    <font>
      <sz val="12"/>
      <name val="Times New Roman"/>
      <family val="0"/>
    </font>
    <font>
      <b/>
      <i/>
      <sz val="11"/>
      <name val="Helv"/>
      <family val="0"/>
    </font>
    <font>
      <b/>
      <sz val="12"/>
      <name val="Helv"/>
      <family val="0"/>
    </font>
    <font>
      <sz val="10"/>
      <name val="Tahoma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4"/>
      <name val="Helv"/>
      <family val="0"/>
    </font>
    <font>
      <sz val="12"/>
      <name val="Helv"/>
      <family val="0"/>
    </font>
    <font>
      <sz val="24"/>
      <name val="Helv"/>
      <family val="0"/>
    </font>
    <font>
      <sz val="7"/>
      <name val="Small Fonts"/>
      <family val="0"/>
    </font>
    <font>
      <sz val="10"/>
      <name val="MS Sans Serif"/>
      <family val="0"/>
    </font>
    <font>
      <sz val="10"/>
      <name val="Helv"/>
      <family val="0"/>
    </font>
    <font>
      <u val="single"/>
      <sz val="9"/>
      <name val="Helv"/>
      <family val="0"/>
    </font>
    <font>
      <sz val="8"/>
      <name val="Helv"/>
      <family val="0"/>
    </font>
    <font>
      <sz val="8"/>
      <color indexed="8"/>
      <name val="Arial Black"/>
      <family val="2"/>
    </font>
    <font>
      <b/>
      <sz val="12"/>
      <color indexed="8"/>
      <name val="Times New Roman"/>
      <family val="1"/>
    </font>
    <font>
      <b/>
      <i/>
      <sz val="16"/>
      <color indexed="10"/>
      <name val="Arial"/>
      <family val="0"/>
    </font>
    <font>
      <b/>
      <sz val="10"/>
      <name val="Tahoma"/>
      <family val="2"/>
    </font>
    <font>
      <sz val="10"/>
      <name val="System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นูลมรผ"/>
      <family val="1"/>
    </font>
    <font>
      <sz val="12"/>
      <name val="Arial"/>
      <family val="2"/>
    </font>
    <font>
      <sz val="11"/>
      <name val="ตธฟ๒"/>
      <family val="3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color indexed="14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sz val="16"/>
      <name val="PwC_Logo"/>
      <family val="0"/>
    </font>
    <font>
      <b/>
      <sz val="8"/>
      <color indexed="10"/>
      <name val="Tahoma"/>
      <family val="2"/>
    </font>
    <font>
      <b/>
      <u val="single"/>
      <sz val="8"/>
      <color indexed="10"/>
      <name val="Tahoma"/>
      <family val="2"/>
    </font>
    <font>
      <b/>
      <sz val="8"/>
      <color indexed="12"/>
      <name val="Tahoma"/>
      <family val="2"/>
    </font>
    <font>
      <b/>
      <u val="single"/>
      <sz val="8"/>
      <name val="Tahoma"/>
      <family val="2"/>
    </font>
    <font>
      <sz val="8"/>
      <color indexed="10"/>
      <name val="Tahoma"/>
      <family val="2"/>
    </font>
    <font>
      <b/>
      <sz val="8"/>
      <color indexed="14"/>
      <name val="Tahoma"/>
      <family val="2"/>
    </font>
    <font>
      <i/>
      <sz val="8"/>
      <color indexed="10"/>
      <name val="Tahoma"/>
      <family val="2"/>
    </font>
    <font>
      <sz val="9"/>
      <name val="Tahoma"/>
      <family val="2"/>
    </font>
    <font>
      <sz val="8"/>
      <color indexed="48"/>
      <name val="Tahoma"/>
      <family val="2"/>
    </font>
    <font>
      <b/>
      <sz val="8"/>
      <color indexed="48"/>
      <name val="Tahoma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color indexed="10"/>
      <name val="Arial"/>
      <family val="2"/>
    </font>
    <font>
      <b/>
      <sz val="14"/>
      <name val="Angsana New"/>
      <family val="1"/>
    </font>
    <font>
      <sz val="14"/>
      <name val="Angsana New"/>
      <family val="1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4"/>
      <color indexed="8"/>
      <name val="Cordia New"/>
      <family val="0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Cordia New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2" fontId="32" fillId="0" borderId="1" applyAlignment="0" applyProtection="0"/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200" fontId="0" fillId="0" borderId="0" applyFont="0" applyFill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0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2" borderId="0" applyNumberFormat="0" applyFont="0" applyFill="0" applyBorder="0" applyProtection="0">
      <alignment horizontal="left"/>
    </xf>
    <xf numFmtId="14" fontId="36" fillId="0" borderId="0" applyFill="0" applyBorder="0" applyAlignment="0"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3" fillId="0" borderId="0" applyNumberFormat="0" applyFill="0" applyBorder="0" applyAlignment="0" applyProtection="0"/>
    <xf numFmtId="225" fontId="37" fillId="0" borderId="0">
      <alignment horizontal="right"/>
      <protection/>
    </xf>
    <xf numFmtId="38" fontId="4" fillId="2" borderId="0" applyNumberFormat="0" applyBorder="0" applyAlignment="0" applyProtection="0"/>
    <xf numFmtId="0" fontId="38" fillId="0" borderId="2" applyNumberFormat="0" applyAlignment="0" applyProtection="0"/>
    <xf numFmtId="0" fontId="38" fillId="0" borderId="3">
      <alignment horizontal="left" vertical="center"/>
      <protection/>
    </xf>
    <xf numFmtId="224" fontId="39" fillId="3" borderId="0">
      <alignment horizontal="left" vertical="top"/>
      <protection/>
    </xf>
    <xf numFmtId="219" fontId="40" fillId="0" borderId="4">
      <alignment horizontal="left"/>
      <protection/>
    </xf>
    <xf numFmtId="218" fontId="40" fillId="0" borderId="5">
      <alignment horizontal="left"/>
      <protection/>
    </xf>
    <xf numFmtId="0" fontId="41" fillId="0" borderId="6">
      <alignment horizontal="right"/>
      <protection/>
    </xf>
    <xf numFmtId="0" fontId="42" fillId="1" borderId="5">
      <alignment horizontal="left"/>
      <protection/>
    </xf>
    <xf numFmtId="0" fontId="2" fillId="0" borderId="0" applyNumberFormat="0" applyFill="0" applyBorder="0" applyAlignment="0" applyProtection="0"/>
    <xf numFmtId="0" fontId="43" fillId="3" borderId="0">
      <alignment horizontal="left" wrapText="1"/>
      <protection/>
    </xf>
    <xf numFmtId="10" fontId="4" fillId="3" borderId="7" applyNumberFormat="0" applyBorder="0" applyAlignment="0" applyProtection="0"/>
    <xf numFmtId="38" fontId="44" fillId="0" borderId="0">
      <alignment/>
      <protection/>
    </xf>
    <xf numFmtId="38" fontId="45" fillId="0" borderId="0">
      <alignment/>
      <protection/>
    </xf>
    <xf numFmtId="38" fontId="46" fillId="0" borderId="0">
      <alignment/>
      <protection/>
    </xf>
    <xf numFmtId="38" fontId="4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221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7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213" fontId="39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52" fillId="0" borderId="8" applyNumberFormat="0" applyBorder="0">
      <alignment/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37" fontId="40" fillId="0" borderId="0">
      <alignment/>
      <protection/>
    </xf>
    <xf numFmtId="0" fontId="53" fillId="0" borderId="0" applyNumberFormat="0" applyFont="0" applyFill="0" applyBorder="0" applyAlignment="0" applyProtection="0"/>
    <xf numFmtId="0" fontId="54" fillId="0" borderId="0">
      <alignment horizontal="left"/>
      <protection/>
    </xf>
    <xf numFmtId="0" fontId="55" fillId="0" borderId="0">
      <alignment/>
      <protection/>
    </xf>
    <xf numFmtId="0" fontId="36" fillId="0" borderId="0" applyNumberFormat="0" applyBorder="0" applyAlignment="0">
      <protection/>
    </xf>
    <xf numFmtId="0" fontId="56" fillId="0" borderId="0" applyNumberFormat="0" applyBorder="0" applyAlignment="0">
      <protection/>
    </xf>
    <xf numFmtId="0" fontId="57" fillId="0" borderId="0" applyNumberFormat="0" applyBorder="0" applyAlignment="0">
      <protection/>
    </xf>
    <xf numFmtId="0" fontId="58" fillId="0" borderId="0" applyNumberFormat="0" applyBorder="0" applyAlignment="0">
      <protection/>
    </xf>
    <xf numFmtId="0" fontId="59" fillId="3" borderId="0">
      <alignment wrapText="1"/>
      <protection/>
    </xf>
    <xf numFmtId="49" fontId="36" fillId="0" borderId="0" applyFill="0" applyBorder="0" applyAlignment="0">
      <protection/>
    </xf>
    <xf numFmtId="0" fontId="1" fillId="0" borderId="0" applyFill="0" applyBorder="0" applyAlignment="0">
      <protection/>
    </xf>
    <xf numFmtId="215" fontId="1" fillId="0" borderId="0" applyFill="0" applyBorder="0" applyAlignment="0">
      <protection/>
    </xf>
    <xf numFmtId="0" fontId="60" fillId="0" borderId="0">
      <alignment/>
      <protection/>
    </xf>
    <xf numFmtId="4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63" fillId="0" borderId="0" applyFont="0" applyFill="0" applyBorder="0" applyAlignment="0" applyProtection="0"/>
    <xf numFmtId="40" fontId="64" fillId="0" borderId="0">
      <alignment/>
      <protection/>
    </xf>
    <xf numFmtId="215" fontId="65" fillId="0" borderId="0" applyFont="0" applyFill="0" applyBorder="0" applyAlignment="0" applyProtection="0"/>
    <xf numFmtId="217" fontId="65" fillId="0" borderId="0" applyFont="0" applyFill="0" applyBorder="0" applyAlignment="0" applyProtection="0"/>
    <xf numFmtId="214" fontId="65" fillId="0" borderId="0" applyFont="0" applyFill="0" applyBorder="0" applyAlignment="0" applyProtection="0"/>
    <xf numFmtId="216" fontId="65" fillId="0" borderId="0" applyFont="0" applyFill="0" applyBorder="0" applyAlignment="0" applyProtection="0"/>
    <xf numFmtId="0" fontId="63" fillId="0" borderId="0">
      <alignment/>
      <protection/>
    </xf>
    <xf numFmtId="0" fontId="60" fillId="0" borderId="0">
      <alignment/>
      <protection/>
    </xf>
  </cellStyleXfs>
  <cellXfs count="1735">
    <xf numFmtId="0" fontId="0" fillId="0" borderId="0" xfId="0" applyAlignment="1">
      <alignment/>
    </xf>
    <xf numFmtId="0" fontId="4" fillId="0" borderId="0" xfId="0" applyFont="1" applyAlignment="1">
      <alignment/>
    </xf>
    <xf numFmtId="200" fontId="4" fillId="0" borderId="0" xfId="24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202" fontId="4" fillId="0" borderId="0" xfId="24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49" fontId="5" fillId="0" borderId="9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200" fontId="4" fillId="0" borderId="10" xfId="24" applyFont="1" applyBorder="1" applyAlignment="1">
      <alignment/>
    </xf>
    <xf numFmtId="200" fontId="4" fillId="0" borderId="10" xfId="24" applyFont="1" applyBorder="1" applyAlignment="1">
      <alignment horizontal="right"/>
    </xf>
    <xf numFmtId="38" fontId="4" fillId="2" borderId="9" xfId="0" applyNumberFormat="1" applyFont="1" applyFill="1" applyBorder="1" applyAlignment="1">
      <alignment/>
    </xf>
    <xf numFmtId="38" fontId="4" fillId="2" borderId="10" xfId="0" applyNumberFormat="1" applyFont="1" applyFill="1" applyBorder="1" applyAlignment="1">
      <alignment/>
    </xf>
    <xf numFmtId="9" fontId="4" fillId="2" borderId="10" xfId="0" applyNumberFormat="1" applyFont="1" applyFill="1" applyBorder="1" applyAlignment="1">
      <alignment/>
    </xf>
    <xf numFmtId="49" fontId="10" fillId="0" borderId="10" xfId="0" applyNumberFormat="1" applyFont="1" applyBorder="1" applyAlignment="1">
      <alignment horizontal="center" wrapText="1"/>
    </xf>
    <xf numFmtId="49" fontId="4" fillId="0" borderId="11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wrapText="1"/>
    </xf>
    <xf numFmtId="9" fontId="4" fillId="2" borderId="10" xfId="93" applyFont="1" applyFill="1" applyBorder="1" applyAlignment="1">
      <alignment/>
    </xf>
    <xf numFmtId="49" fontId="4" fillId="0" borderId="9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wrapText="1"/>
    </xf>
    <xf numFmtId="200" fontId="4" fillId="0" borderId="9" xfId="24" applyFont="1" applyBorder="1" applyAlignment="1">
      <alignment/>
    </xf>
    <xf numFmtId="202" fontId="4" fillId="2" borderId="9" xfId="0" applyNumberFormat="1" applyFont="1" applyFill="1" applyBorder="1" applyAlignment="1">
      <alignment/>
    </xf>
    <xf numFmtId="202" fontId="4" fillId="2" borderId="10" xfId="0" applyNumberFormat="1" applyFont="1" applyFill="1" applyBorder="1" applyAlignment="1">
      <alignment/>
    </xf>
    <xf numFmtId="202" fontId="4" fillId="2" borderId="10" xfId="24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49" fontId="9" fillId="0" borderId="9" xfId="0" applyNumberFormat="1" applyFont="1" applyFill="1" applyBorder="1" applyAlignment="1">
      <alignment horizontal="center" wrapText="1"/>
    </xf>
    <xf numFmtId="200" fontId="4" fillId="0" borderId="12" xfId="24" applyFont="1" applyBorder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5" fillId="0" borderId="9" xfId="0" applyNumberFormat="1" applyFont="1" applyFill="1" applyBorder="1" applyAlignment="1">
      <alignment wrapText="1"/>
    </xf>
    <xf numFmtId="49" fontId="4" fillId="0" borderId="9" xfId="0" applyNumberFormat="1" applyFont="1" applyFill="1" applyBorder="1" applyAlignment="1">
      <alignment wrapText="1"/>
    </xf>
    <xf numFmtId="49" fontId="5" fillId="0" borderId="9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200" fontId="4" fillId="0" borderId="10" xfId="0" applyNumberFormat="1" applyFont="1" applyBorder="1" applyAlignment="1">
      <alignment/>
    </xf>
    <xf numFmtId="49" fontId="5" fillId="0" borderId="13" xfId="0" applyNumberFormat="1" applyFont="1" applyFill="1" applyBorder="1" applyAlignment="1">
      <alignment horizontal="center" wrapText="1"/>
    </xf>
    <xf numFmtId="49" fontId="4" fillId="0" borderId="7" xfId="0" applyNumberFormat="1" applyFont="1" applyFill="1" applyBorder="1" applyAlignment="1">
      <alignment wrapText="1"/>
    </xf>
    <xf numFmtId="49" fontId="5" fillId="0" borderId="7" xfId="0" applyNumberFormat="1" applyFont="1" applyFill="1" applyBorder="1" applyAlignment="1">
      <alignment horizontal="center" wrapText="1"/>
    </xf>
    <xf numFmtId="200" fontId="4" fillId="0" borderId="7" xfId="24" applyFont="1" applyFill="1" applyBorder="1" applyAlignment="1">
      <alignment/>
    </xf>
    <xf numFmtId="49" fontId="4" fillId="0" borderId="10" xfId="0" applyNumberFormat="1" applyFont="1" applyFill="1" applyBorder="1" applyAlignment="1">
      <alignment shrinkToFit="1"/>
    </xf>
    <xf numFmtId="40" fontId="4" fillId="0" borderId="9" xfId="0" applyNumberFormat="1" applyFont="1" applyFill="1" applyBorder="1" applyAlignment="1">
      <alignment/>
    </xf>
    <xf numFmtId="40" fontId="4" fillId="0" borderId="10" xfId="0" applyNumberFormat="1" applyFont="1" applyBorder="1" applyAlignment="1">
      <alignment/>
    </xf>
    <xf numFmtId="40" fontId="4" fillId="2" borderId="10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wrapText="1"/>
    </xf>
    <xf numFmtId="49" fontId="5" fillId="0" borderId="14" xfId="0" applyNumberFormat="1" applyFont="1" applyFill="1" applyBorder="1" applyAlignment="1">
      <alignment horizontal="center" wrapText="1"/>
    </xf>
    <xf numFmtId="200" fontId="4" fillId="0" borderId="14" xfId="24" applyFont="1" applyFill="1" applyBorder="1" applyAlignment="1">
      <alignment/>
    </xf>
    <xf numFmtId="49" fontId="5" fillId="0" borderId="16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200" fontId="4" fillId="0" borderId="0" xfId="24" applyNumberFormat="1" applyFont="1" applyAlignment="1">
      <alignment/>
    </xf>
    <xf numFmtId="3" fontId="4" fillId="0" borderId="0" xfId="0" applyNumberFormat="1" applyFont="1" applyAlignment="1">
      <alignment/>
    </xf>
    <xf numFmtId="9" fontId="4" fillId="0" borderId="0" xfId="93" applyFont="1" applyAlignment="1">
      <alignment/>
    </xf>
    <xf numFmtId="0" fontId="5" fillId="2" borderId="1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0" fontId="5" fillId="2" borderId="17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5" fontId="5" fillId="2" borderId="7" xfId="0" applyNumberFormat="1" applyFont="1" applyFill="1" applyBorder="1" applyAlignment="1">
      <alignment horizontal="center"/>
    </xf>
    <xf numFmtId="15" fontId="5" fillId="2" borderId="13" xfId="0" applyNumberFormat="1" applyFont="1" applyFill="1" applyBorder="1" applyAlignment="1">
      <alignment horizontal="center"/>
    </xf>
    <xf numFmtId="15" fontId="7" fillId="2" borderId="21" xfId="0" applyNumberFormat="1" applyFont="1" applyFill="1" applyBorder="1" applyAlignment="1">
      <alignment horizontal="center"/>
    </xf>
    <xf numFmtId="3" fontId="5" fillId="2" borderId="21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3" fontId="5" fillId="2" borderId="17" xfId="0" applyNumberFormat="1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3" fontId="5" fillId="2" borderId="13" xfId="0" applyNumberFormat="1" applyFont="1" applyFill="1" applyBorder="1" applyAlignment="1">
      <alignment horizontal="center"/>
    </xf>
    <xf numFmtId="15" fontId="7" fillId="2" borderId="7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9" fontId="5" fillId="2" borderId="13" xfId="0" applyNumberFormat="1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3" fontId="5" fillId="2" borderId="18" xfId="0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/>
    </xf>
    <xf numFmtId="38" fontId="4" fillId="0" borderId="10" xfId="0" applyNumberFormat="1" applyFont="1" applyBorder="1" applyAlignment="1">
      <alignment/>
    </xf>
    <xf numFmtId="38" fontId="8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right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40" fontId="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49" fontId="5" fillId="0" borderId="7" xfId="0" applyNumberFormat="1" applyFont="1" applyBorder="1" applyAlignment="1">
      <alignment horizontal="right" wrapText="1"/>
    </xf>
    <xf numFmtId="200" fontId="5" fillId="2" borderId="7" xfId="24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4" borderId="17" xfId="0" applyFont="1" applyFill="1" applyBorder="1" applyAlignment="1">
      <alignment horizontal="center"/>
    </xf>
    <xf numFmtId="49" fontId="5" fillId="0" borderId="9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200" fontId="5" fillId="0" borderId="10" xfId="24" applyFont="1" applyBorder="1" applyAlignment="1">
      <alignment horizontal="right" wrapText="1"/>
    </xf>
    <xf numFmtId="49" fontId="4" fillId="0" borderId="9" xfId="0" applyNumberFormat="1" applyFont="1" applyBorder="1" applyAlignment="1">
      <alignment wrapText="1"/>
    </xf>
    <xf numFmtId="49" fontId="9" fillId="0" borderId="9" xfId="0" applyNumberFormat="1" applyFont="1" applyBorder="1" applyAlignment="1">
      <alignment wrapText="1"/>
    </xf>
    <xf numFmtId="200" fontId="4" fillId="0" borderId="10" xfId="24" applyFont="1" applyBorder="1" applyAlignment="1">
      <alignment horizontal="right" wrapText="1"/>
    </xf>
    <xf numFmtId="201" fontId="4" fillId="2" borderId="10" xfId="0" applyNumberFormat="1" applyFont="1" applyFill="1" applyBorder="1" applyAlignment="1">
      <alignment/>
    </xf>
    <xf numFmtId="49" fontId="4" fillId="0" borderId="9" xfId="0" applyNumberFormat="1" applyFont="1" applyBorder="1" applyAlignment="1">
      <alignment/>
    </xf>
    <xf numFmtId="200" fontId="4" fillId="0" borderId="10" xfId="24" applyFont="1" applyFill="1" applyBorder="1" applyAlignment="1">
      <alignment/>
    </xf>
    <xf numFmtId="200" fontId="4" fillId="0" borderId="9" xfId="24" applyFont="1" applyFill="1" applyBorder="1" applyAlignment="1">
      <alignment/>
    </xf>
    <xf numFmtId="200" fontId="8" fillId="0" borderId="10" xfId="24" applyFont="1" applyBorder="1" applyAlignment="1">
      <alignment/>
    </xf>
    <xf numFmtId="200" fontId="8" fillId="0" borderId="10" xfId="24" applyFont="1" applyBorder="1" applyAlignment="1">
      <alignment horizontal="right" wrapText="1"/>
    </xf>
    <xf numFmtId="49" fontId="4" fillId="0" borderId="9" xfId="0" applyNumberFormat="1" applyFont="1" applyFill="1" applyBorder="1" applyAlignment="1">
      <alignment/>
    </xf>
    <xf numFmtId="200" fontId="4" fillId="0" borderId="10" xfId="24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5" fillId="0" borderId="7" xfId="0" applyFont="1" applyBorder="1" applyAlignment="1">
      <alignment/>
    </xf>
    <xf numFmtId="38" fontId="4" fillId="2" borderId="7" xfId="0" applyNumberFormat="1" applyFont="1" applyFill="1" applyBorder="1" applyAlignment="1">
      <alignment/>
    </xf>
    <xf numFmtId="49" fontId="9" fillId="0" borderId="9" xfId="0" applyNumberFormat="1" applyFont="1" applyBorder="1" applyAlignment="1">
      <alignment/>
    </xf>
    <xf numFmtId="200" fontId="8" fillId="0" borderId="10" xfId="24" applyFont="1" applyBorder="1" applyAlignment="1">
      <alignment horizontal="right" wrapText="1"/>
    </xf>
    <xf numFmtId="38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40" fontId="4" fillId="0" borderId="10" xfId="0" applyNumberFormat="1" applyFont="1" applyBorder="1" applyAlignment="1">
      <alignment/>
    </xf>
    <xf numFmtId="0" fontId="7" fillId="2" borderId="20" xfId="0" applyFont="1" applyFill="1" applyBorder="1" applyAlignment="1">
      <alignment horizontal="center"/>
    </xf>
    <xf numFmtId="15" fontId="7" fillId="2" borderId="12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200" fontId="4" fillId="0" borderId="11" xfId="24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4" borderId="19" xfId="0" applyFont="1" applyFill="1" applyBorder="1" applyAlignment="1">
      <alignment horizontal="center"/>
    </xf>
    <xf numFmtId="38" fontId="4" fillId="0" borderId="9" xfId="0" applyNumberFormat="1" applyFont="1" applyBorder="1" applyAlignment="1">
      <alignment/>
    </xf>
    <xf numFmtId="202" fontId="4" fillId="0" borderId="10" xfId="0" applyNumberFormat="1" applyFont="1" applyFill="1" applyBorder="1" applyAlignment="1">
      <alignment/>
    </xf>
    <xf numFmtId="202" fontId="4" fillId="0" borderId="10" xfId="0" applyNumberFormat="1" applyFont="1" applyFill="1" applyBorder="1" applyAlignment="1">
      <alignment horizontal="right"/>
    </xf>
    <xf numFmtId="202" fontId="4" fillId="0" borderId="10" xfId="0" applyNumberFormat="1" applyFont="1" applyBorder="1" applyAlignment="1">
      <alignment/>
    </xf>
    <xf numFmtId="49" fontId="5" fillId="0" borderId="15" xfId="0" applyNumberFormat="1" applyFont="1" applyFill="1" applyBorder="1" applyAlignment="1">
      <alignment horizontal="center" wrapText="1"/>
    </xf>
    <xf numFmtId="200" fontId="4" fillId="0" borderId="0" xfId="24" applyFont="1" applyAlignment="1">
      <alignment/>
    </xf>
    <xf numFmtId="43" fontId="4" fillId="0" borderId="0" xfId="0" applyNumberFormat="1" applyFont="1" applyAlignment="1">
      <alignment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wrapText="1"/>
    </xf>
    <xf numFmtId="49" fontId="5" fillId="0" borderId="21" xfId="0" applyNumberFormat="1" applyFont="1" applyFill="1" applyBorder="1" applyAlignment="1">
      <alignment horizontal="center" wrapText="1"/>
    </xf>
    <xf numFmtId="202" fontId="4" fillId="0" borderId="21" xfId="0" applyNumberFormat="1" applyFont="1" applyFill="1" applyBorder="1" applyAlignment="1">
      <alignment/>
    </xf>
    <xf numFmtId="202" fontId="4" fillId="0" borderId="21" xfId="0" applyNumberFormat="1" applyFont="1" applyFill="1" applyBorder="1" applyAlignment="1">
      <alignment horizontal="right"/>
    </xf>
    <xf numFmtId="202" fontId="4" fillId="0" borderId="21" xfId="0" applyNumberFormat="1" applyFont="1" applyBorder="1" applyAlignment="1">
      <alignment/>
    </xf>
    <xf numFmtId="200" fontId="4" fillId="0" borderId="0" xfId="0" applyNumberFormat="1" applyFont="1" applyAlignment="1">
      <alignment/>
    </xf>
    <xf numFmtId="49" fontId="5" fillId="0" borderId="18" xfId="0" applyNumberFormat="1" applyFont="1" applyFill="1" applyBorder="1" applyAlignment="1">
      <alignment horizontal="center" wrapText="1"/>
    </xf>
    <xf numFmtId="202" fontId="4" fillId="0" borderId="10" xfId="24" applyNumberFormat="1" applyFont="1" applyFill="1" applyBorder="1" applyAlignment="1">
      <alignment/>
    </xf>
    <xf numFmtId="202" fontId="4" fillId="0" borderId="10" xfId="24" applyNumberFormat="1" applyFont="1" applyFill="1" applyBorder="1" applyAlignment="1">
      <alignment horizontal="right"/>
    </xf>
    <xf numFmtId="202" fontId="4" fillId="0" borderId="10" xfId="24" applyNumberFormat="1" applyFont="1" applyBorder="1" applyAlignment="1">
      <alignment/>
    </xf>
    <xf numFmtId="202" fontId="4" fillId="0" borderId="9" xfId="24" applyNumberFormat="1" applyFont="1" applyFill="1" applyBorder="1" applyAlignment="1">
      <alignment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202" fontId="6" fillId="0" borderId="14" xfId="0" applyNumberFormat="1" applyFont="1" applyFill="1" applyBorder="1" applyAlignment="1">
      <alignment/>
    </xf>
    <xf numFmtId="202" fontId="6" fillId="0" borderId="14" xfId="0" applyNumberFormat="1" applyFont="1" applyFill="1" applyBorder="1" applyAlignment="1">
      <alignment horizontal="right"/>
    </xf>
    <xf numFmtId="202" fontId="6" fillId="0" borderId="14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5" fontId="7" fillId="2" borderId="12" xfId="0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3" fontId="5" fillId="2" borderId="17" xfId="0" applyNumberFormat="1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3" fontId="5" fillId="2" borderId="13" xfId="0" applyNumberFormat="1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3" fontId="5" fillId="2" borderId="18" xfId="0" applyNumberFormat="1" applyFont="1" applyFill="1" applyBorder="1" applyAlignment="1">
      <alignment horizontal="center"/>
    </xf>
    <xf numFmtId="9" fontId="5" fillId="2" borderId="13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center" wrapText="1"/>
    </xf>
    <xf numFmtId="200" fontId="4" fillId="0" borderId="10" xfId="24" applyFont="1" applyBorder="1" applyAlignment="1">
      <alignment/>
    </xf>
    <xf numFmtId="200" fontId="4" fillId="0" borderId="10" xfId="24" applyFont="1" applyBorder="1" applyAlignment="1">
      <alignment horizontal="right"/>
    </xf>
    <xf numFmtId="38" fontId="4" fillId="0" borderId="10" xfId="0" applyNumberFormat="1" applyFont="1" applyBorder="1" applyAlignment="1">
      <alignment/>
    </xf>
    <xf numFmtId="200" fontId="4" fillId="2" borderId="10" xfId="24" applyFont="1" applyFill="1" applyBorder="1" applyAlignment="1">
      <alignment/>
    </xf>
    <xf numFmtId="200" fontId="4" fillId="2" borderId="10" xfId="0" applyNumberFormat="1" applyFont="1" applyFill="1" applyBorder="1" applyAlignment="1">
      <alignment/>
    </xf>
    <xf numFmtId="200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49" fontId="5" fillId="0" borderId="9" xfId="0" applyNumberFormat="1" applyFont="1" applyBorder="1" applyAlignment="1">
      <alignment wrapText="1"/>
    </xf>
    <xf numFmtId="40" fontId="4" fillId="2" borderId="10" xfId="0" applyNumberFormat="1" applyFont="1" applyFill="1" applyBorder="1" applyAlignment="1">
      <alignment/>
    </xf>
    <xf numFmtId="49" fontId="4" fillId="0" borderId="9" xfId="0" applyNumberFormat="1" applyFont="1" applyBorder="1" applyAlignment="1">
      <alignment wrapText="1"/>
    </xf>
    <xf numFmtId="202" fontId="4" fillId="2" borderId="10" xfId="0" applyNumberFormat="1" applyFont="1" applyFill="1" applyBorder="1" applyAlignment="1">
      <alignment/>
    </xf>
    <xf numFmtId="206" fontId="4" fillId="2" borderId="10" xfId="0" applyNumberFormat="1" applyFont="1" applyFill="1" applyBorder="1" applyAlignment="1">
      <alignment/>
    </xf>
    <xf numFmtId="202" fontId="4" fillId="2" borderId="10" xfId="24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wrapText="1"/>
    </xf>
    <xf numFmtId="202" fontId="4" fillId="0" borderId="10" xfId="24" applyNumberFormat="1" applyFont="1" applyBorder="1" applyAlignment="1">
      <alignment/>
    </xf>
    <xf numFmtId="0" fontId="5" fillId="0" borderId="7" xfId="0" applyFont="1" applyBorder="1" applyAlignment="1">
      <alignment wrapText="1"/>
    </xf>
    <xf numFmtId="49" fontId="5" fillId="0" borderId="7" xfId="0" applyNumberFormat="1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91" applyFont="1">
      <alignment/>
      <protection/>
    </xf>
    <xf numFmtId="0" fontId="4" fillId="0" borderId="0" xfId="91" applyFont="1" applyFill="1">
      <alignment/>
      <protection/>
    </xf>
    <xf numFmtId="202" fontId="4" fillId="0" borderId="0" xfId="24" applyNumberFormat="1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200" fontId="4" fillId="0" borderId="10" xfId="0" applyNumberFormat="1" applyFont="1" applyBorder="1" applyAlignment="1">
      <alignment horizontal="right"/>
    </xf>
    <xf numFmtId="200" fontId="4" fillId="2" borderId="10" xfId="0" applyNumberFormat="1" applyFont="1" applyFill="1" applyBorder="1" applyAlignment="1">
      <alignment/>
    </xf>
    <xf numFmtId="200" fontId="4" fillId="2" borderId="7" xfId="24" applyNumberFormat="1" applyFont="1" applyFill="1" applyBorder="1" applyAlignment="1">
      <alignment/>
    </xf>
    <xf numFmtId="200" fontId="4" fillId="2" borderId="7" xfId="24" applyNumberFormat="1" applyFont="1" applyFill="1" applyBorder="1" applyAlignment="1">
      <alignment horizontal="right"/>
    </xf>
    <xf numFmtId="49" fontId="13" fillId="0" borderId="9" xfId="0" applyNumberFormat="1" applyFont="1" applyBorder="1" applyAlignment="1">
      <alignment horizontal="center" wrapText="1"/>
    </xf>
    <xf numFmtId="200" fontId="4" fillId="0" borderId="15" xfId="24" applyFont="1" applyFill="1" applyBorder="1" applyAlignment="1">
      <alignment/>
    </xf>
    <xf numFmtId="49" fontId="5" fillId="0" borderId="9" xfId="0" applyNumberFormat="1" applyFont="1" applyBorder="1" applyAlignment="1">
      <alignment horizontal="left" wrapText="1"/>
    </xf>
    <xf numFmtId="49" fontId="4" fillId="0" borderId="9" xfId="0" applyNumberFormat="1" applyFont="1" applyBorder="1" applyAlignment="1">
      <alignment horizontal="left" wrapText="1"/>
    </xf>
    <xf numFmtId="200" fontId="4" fillId="0" borderId="15" xfId="24" applyFont="1" applyBorder="1" applyAlignment="1">
      <alignment/>
    </xf>
    <xf numFmtId="49" fontId="4" fillId="0" borderId="7" xfId="0" applyNumberFormat="1" applyFont="1" applyBorder="1" applyAlignment="1">
      <alignment wrapText="1"/>
    </xf>
    <xf numFmtId="0" fontId="4" fillId="0" borderId="9" xfId="0" applyFont="1" applyBorder="1" applyAlignment="1">
      <alignment/>
    </xf>
    <xf numFmtId="49" fontId="9" fillId="0" borderId="9" xfId="0" applyNumberFormat="1" applyFont="1" applyBorder="1" applyAlignment="1">
      <alignment horizontal="center" wrapText="1"/>
    </xf>
    <xf numFmtId="200" fontId="4" fillId="0" borderId="14" xfId="24" applyFont="1" applyBorder="1" applyAlignment="1">
      <alignment/>
    </xf>
    <xf numFmtId="9" fontId="5" fillId="2" borderId="21" xfId="0" applyNumberFormat="1" applyFont="1" applyFill="1" applyBorder="1" applyAlignment="1">
      <alignment horizontal="center"/>
    </xf>
    <xf numFmtId="49" fontId="4" fillId="0" borderId="9" xfId="0" applyNumberFormat="1" applyFont="1" applyBorder="1" applyAlignment="1">
      <alignment horizontal="right" wrapText="1"/>
    </xf>
    <xf numFmtId="202" fontId="4" fillId="0" borderId="10" xfId="0" applyNumberFormat="1" applyFont="1" applyBorder="1" applyAlignment="1">
      <alignment horizontal="right"/>
    </xf>
    <xf numFmtId="202" fontId="4" fillId="0" borderId="7" xfId="24" applyNumberFormat="1" applyFont="1" applyBorder="1" applyAlignment="1">
      <alignment/>
    </xf>
    <xf numFmtId="202" fontId="4" fillId="0" borderId="13" xfId="24" applyNumberFormat="1" applyFont="1" applyBorder="1" applyAlignment="1">
      <alignment/>
    </xf>
    <xf numFmtId="0" fontId="7" fillId="2" borderId="12" xfId="0" applyFont="1" applyFill="1" applyBorder="1" applyAlignment="1">
      <alignment horizontal="center"/>
    </xf>
    <xf numFmtId="49" fontId="10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 indent="2"/>
    </xf>
    <xf numFmtId="38" fontId="4" fillId="0" borderId="9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8" xfId="0" applyNumberFormat="1" applyFont="1" applyBorder="1" applyAlignment="1">
      <alignment wrapText="1"/>
    </xf>
    <xf numFmtId="38" fontId="4" fillId="0" borderId="18" xfId="0" applyNumberFormat="1" applyFont="1" applyBorder="1" applyAlignment="1">
      <alignment/>
    </xf>
    <xf numFmtId="49" fontId="5" fillId="0" borderId="7" xfId="0" applyNumberFormat="1" applyFont="1" applyBorder="1" applyAlignment="1">
      <alignment horizontal="left" wrapText="1"/>
    </xf>
    <xf numFmtId="0" fontId="4" fillId="0" borderId="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200" fontId="4" fillId="0" borderId="9" xfId="24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/>
    </xf>
    <xf numFmtId="3" fontId="4" fillId="0" borderId="0" xfId="0" applyNumberFormat="1" applyFont="1" applyAlignment="1">
      <alignment horizontal="center"/>
    </xf>
    <xf numFmtId="40" fontId="4" fillId="0" borderId="0" xfId="0" applyNumberFormat="1" applyFont="1" applyFill="1" applyBorder="1" applyAlignment="1">
      <alignment horizontal="right" wrapText="1"/>
    </xf>
    <xf numFmtId="38" fontId="4" fillId="0" borderId="10" xfId="0" applyNumberFormat="1" applyFont="1" applyBorder="1" applyAlignment="1">
      <alignment horizontal="center"/>
    </xf>
    <xf numFmtId="0" fontId="4" fillId="2" borderId="17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9" xfId="0" applyFont="1" applyFill="1" applyBorder="1" applyAlignment="1">
      <alignment/>
    </xf>
    <xf numFmtId="0" fontId="11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40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9" xfId="0" applyFont="1" applyBorder="1" applyAlignment="1">
      <alignment horizontal="left"/>
    </xf>
    <xf numFmtId="15" fontId="7" fillId="2" borderId="21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right" wrapText="1"/>
    </xf>
    <xf numFmtId="49" fontId="5" fillId="0" borderId="17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7" fillId="4" borderId="19" xfId="0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0" fontId="4" fillId="2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200" fontId="4" fillId="0" borderId="0" xfId="24" applyFont="1" applyFill="1" applyBorder="1" applyAlignment="1">
      <alignment/>
    </xf>
    <xf numFmtId="0" fontId="7" fillId="0" borderId="9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200" fontId="4" fillId="0" borderId="18" xfId="24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15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8" fontId="4" fillId="0" borderId="9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right" wrapText="1"/>
    </xf>
    <xf numFmtId="0" fontId="4" fillId="2" borderId="0" xfId="0" applyFont="1" applyFill="1" applyAlignment="1">
      <alignment/>
    </xf>
    <xf numFmtId="0" fontId="4" fillId="2" borderId="17" xfId="0" applyFont="1" applyFill="1" applyBorder="1" applyAlignment="1">
      <alignment/>
    </xf>
    <xf numFmtId="49" fontId="4" fillId="0" borderId="9" xfId="0" applyNumberFormat="1" applyFont="1" applyBorder="1" applyAlignment="1">
      <alignment horizontal="center" wrapText="1"/>
    </xf>
    <xf numFmtId="0" fontId="4" fillId="2" borderId="9" xfId="0" applyFont="1" applyFill="1" applyBorder="1" applyAlignment="1">
      <alignment/>
    </xf>
    <xf numFmtId="49" fontId="10" fillId="0" borderId="10" xfId="0" applyNumberFormat="1" applyFont="1" applyBorder="1" applyAlignment="1">
      <alignment wrapText="1"/>
    </xf>
    <xf numFmtId="40" fontId="4" fillId="0" borderId="9" xfId="0" applyNumberFormat="1" applyFont="1" applyFill="1" applyBorder="1" applyAlignment="1">
      <alignment/>
    </xf>
    <xf numFmtId="49" fontId="10" fillId="0" borderId="9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40" fontId="4" fillId="0" borderId="10" xfId="0" applyNumberFormat="1" applyFont="1" applyBorder="1" applyAlignment="1">
      <alignment horizontal="right" wrapText="1"/>
    </xf>
    <xf numFmtId="40" fontId="4" fillId="0" borderId="10" xfId="0" applyNumberFormat="1" applyFont="1" applyFill="1" applyBorder="1" applyAlignment="1">
      <alignment/>
    </xf>
    <xf numFmtId="200" fontId="4" fillId="2" borderId="0" xfId="24" applyFont="1" applyFill="1" applyAlignment="1">
      <alignment/>
    </xf>
    <xf numFmtId="0" fontId="4" fillId="0" borderId="7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3" fontId="16" fillId="0" borderId="0" xfId="0" applyNumberFormat="1" applyFont="1" applyAlignment="1">
      <alignment/>
    </xf>
    <xf numFmtId="38" fontId="4" fillId="0" borderId="10" xfId="0" applyNumberFormat="1" applyFont="1" applyFill="1" applyBorder="1" applyAlignment="1">
      <alignment/>
    </xf>
    <xf numFmtId="49" fontId="5" fillId="0" borderId="17" xfId="0" applyNumberFormat="1" applyFont="1" applyBorder="1" applyAlignment="1">
      <alignment horizontal="right" wrapText="1"/>
    </xf>
    <xf numFmtId="0" fontId="4" fillId="0" borderId="19" xfId="0" applyFont="1" applyBorder="1" applyAlignment="1">
      <alignment horizontal="center"/>
    </xf>
    <xf numFmtId="200" fontId="4" fillId="0" borderId="10" xfId="24" applyFont="1" applyBorder="1" applyAlignment="1">
      <alignment horizontal="right" wrapText="1"/>
    </xf>
    <xf numFmtId="200" fontId="16" fillId="0" borderId="9" xfId="24" applyFont="1" applyFill="1" applyBorder="1" applyAlignment="1">
      <alignment/>
    </xf>
    <xf numFmtId="200" fontId="4" fillId="0" borderId="10" xfId="24" applyFont="1" applyFill="1" applyBorder="1" applyAlignment="1">
      <alignment/>
    </xf>
    <xf numFmtId="200" fontId="16" fillId="0" borderId="10" xfId="24" applyFont="1" applyFill="1" applyBorder="1" applyAlignment="1">
      <alignment/>
    </xf>
    <xf numFmtId="200" fontId="4" fillId="2" borderId="7" xfId="24" applyFont="1" applyFill="1" applyBorder="1" applyAlignment="1">
      <alignment/>
    </xf>
    <xf numFmtId="0" fontId="4" fillId="0" borderId="0" xfId="0" applyFont="1" applyAlignment="1">
      <alignment horizontal="center" wrapText="1"/>
    </xf>
    <xf numFmtId="49" fontId="18" fillId="0" borderId="9" xfId="0" applyNumberFormat="1" applyFont="1" applyFill="1" applyBorder="1" applyAlignment="1">
      <alignment wrapText="1"/>
    </xf>
    <xf numFmtId="0" fontId="18" fillId="0" borderId="9" xfId="0" applyFont="1" applyFill="1" applyBorder="1" applyAlignment="1">
      <alignment/>
    </xf>
    <xf numFmtId="200" fontId="4" fillId="0" borderId="9" xfId="24" applyFont="1" applyFill="1" applyBorder="1" applyAlignment="1">
      <alignment horizontal="right"/>
    </xf>
    <xf numFmtId="202" fontId="5" fillId="2" borderId="7" xfId="24" applyNumberFormat="1" applyFont="1" applyFill="1" applyBorder="1" applyAlignment="1">
      <alignment/>
    </xf>
    <xf numFmtId="9" fontId="5" fillId="2" borderId="13" xfId="93" applyFont="1" applyFill="1" applyBorder="1" applyAlignment="1">
      <alignment/>
    </xf>
    <xf numFmtId="9" fontId="5" fillId="2" borderId="19" xfId="0" applyNumberFormat="1" applyFont="1" applyFill="1" applyBorder="1" applyAlignment="1">
      <alignment horizontal="center"/>
    </xf>
    <xf numFmtId="202" fontId="5" fillId="2" borderId="7" xfId="0" applyNumberFormat="1" applyFont="1" applyFill="1" applyBorder="1" applyAlignment="1">
      <alignment horizontal="right"/>
    </xf>
    <xf numFmtId="202" fontId="5" fillId="2" borderId="7" xfId="0" applyNumberFormat="1" applyFont="1" applyFill="1" applyBorder="1" applyAlignment="1">
      <alignment/>
    </xf>
    <xf numFmtId="0" fontId="22" fillId="0" borderId="0" xfId="0" applyFont="1" applyAlignment="1">
      <alignment/>
    </xf>
    <xf numFmtId="200" fontId="5" fillId="2" borderId="7" xfId="24" applyNumberFormat="1" applyFont="1" applyFill="1" applyBorder="1" applyAlignment="1">
      <alignment/>
    </xf>
    <xf numFmtId="202" fontId="4" fillId="0" borderId="10" xfId="24" applyNumberFormat="1" applyFont="1" applyBorder="1" applyAlignment="1">
      <alignment horizontal="right"/>
    </xf>
    <xf numFmtId="202" fontId="8" fillId="0" borderId="10" xfId="24" applyNumberFormat="1" applyFont="1" applyBorder="1" applyAlignment="1">
      <alignment/>
    </xf>
    <xf numFmtId="202" fontId="8" fillId="0" borderId="10" xfId="24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38" fontId="4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right" wrapText="1"/>
    </xf>
    <xf numFmtId="40" fontId="8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right" wrapText="1"/>
    </xf>
    <xf numFmtId="40" fontId="7" fillId="2" borderId="7" xfId="0" applyNumberFormat="1" applyFont="1" applyFill="1" applyBorder="1" applyAlignment="1">
      <alignment/>
    </xf>
    <xf numFmtId="200" fontId="5" fillId="0" borderId="0" xfId="24" applyFont="1" applyBorder="1" applyAlignment="1">
      <alignment horizontal="right" wrapText="1"/>
    </xf>
    <xf numFmtId="200" fontId="5" fillId="0" borderId="9" xfId="24" applyFont="1" applyBorder="1" applyAlignment="1">
      <alignment horizontal="right" wrapText="1"/>
    </xf>
    <xf numFmtId="200" fontId="5" fillId="0" borderId="10" xfId="24" applyFont="1" applyBorder="1" applyAlignment="1">
      <alignment horizontal="right" wrapText="1"/>
    </xf>
    <xf numFmtId="200" fontId="4" fillId="0" borderId="0" xfId="24" applyFont="1" applyBorder="1" applyAlignment="1">
      <alignment horizontal="right" wrapText="1"/>
    </xf>
    <xf numFmtId="200" fontId="4" fillId="0" borderId="9" xfId="24" applyFont="1" applyBorder="1" applyAlignment="1">
      <alignment horizontal="right" wrapText="1"/>
    </xf>
    <xf numFmtId="49" fontId="9" fillId="0" borderId="10" xfId="0" applyNumberFormat="1" applyFont="1" applyBorder="1" applyAlignment="1">
      <alignment wrapText="1"/>
    </xf>
    <xf numFmtId="200" fontId="7" fillId="2" borderId="7" xfId="24" applyFont="1" applyFill="1" applyBorder="1" applyAlignment="1">
      <alignment/>
    </xf>
    <xf numFmtId="200" fontId="8" fillId="0" borderId="9" xfId="24" applyFont="1" applyBorder="1" applyAlignment="1">
      <alignment/>
    </xf>
    <xf numFmtId="200" fontId="4" fillId="0" borderId="17" xfId="24" applyFont="1" applyBorder="1" applyAlignment="1">
      <alignment horizontal="right"/>
    </xf>
    <xf numFmtId="200" fontId="4" fillId="0" borderId="9" xfId="24" applyFont="1" applyBorder="1" applyAlignment="1">
      <alignment horizontal="right"/>
    </xf>
    <xf numFmtId="200" fontId="4" fillId="0" borderId="12" xfId="24" applyFont="1" applyFill="1" applyBorder="1" applyAlignment="1">
      <alignment/>
    </xf>
    <xf numFmtId="200" fontId="4" fillId="0" borderId="9" xfId="24" applyFont="1" applyFill="1" applyBorder="1" applyAlignment="1">
      <alignment horizontal="left"/>
    </xf>
    <xf numFmtId="200" fontId="4" fillId="0" borderId="5" xfId="24" applyFont="1" applyFill="1" applyBorder="1" applyAlignment="1">
      <alignment/>
    </xf>
    <xf numFmtId="200" fontId="4" fillId="0" borderId="11" xfId="24" applyFont="1" applyFill="1" applyBorder="1" applyAlignment="1">
      <alignment horizontal="right"/>
    </xf>
    <xf numFmtId="200" fontId="4" fillId="0" borderId="22" xfId="24" applyFont="1" applyFill="1" applyBorder="1" applyAlignment="1">
      <alignment/>
    </xf>
    <xf numFmtId="200" fontId="4" fillId="0" borderId="11" xfId="24" applyFont="1" applyBorder="1" applyAlignment="1">
      <alignment/>
    </xf>
    <xf numFmtId="200" fontId="4" fillId="0" borderId="16" xfId="24" applyFont="1" applyBorder="1" applyAlignment="1">
      <alignment/>
    </xf>
    <xf numFmtId="200" fontId="4" fillId="0" borderId="15" xfId="24" applyFont="1" applyFill="1" applyBorder="1" applyAlignment="1">
      <alignment horizontal="right"/>
    </xf>
    <xf numFmtId="200" fontId="5" fillId="2" borderId="7" xfId="24" applyFont="1" applyFill="1" applyBorder="1" applyAlignment="1">
      <alignment horizontal="right"/>
    </xf>
    <xf numFmtId="49" fontId="4" fillId="0" borderId="10" xfId="0" applyNumberFormat="1" applyFont="1" applyBorder="1" applyAlignment="1">
      <alignment/>
    </xf>
    <xf numFmtId="200" fontId="8" fillId="0" borderId="9" xfId="24" applyFont="1" applyFill="1" applyBorder="1" applyAlignment="1">
      <alignment/>
    </xf>
    <xf numFmtId="200" fontId="8" fillId="0" borderId="10" xfId="24" applyFont="1" applyFill="1" applyBorder="1" applyAlignment="1">
      <alignment/>
    </xf>
    <xf numFmtId="202" fontId="4" fillId="0" borderId="10" xfId="24" applyNumberFormat="1" applyFont="1" applyBorder="1" applyAlignment="1">
      <alignment horizontal="right" wrapText="1"/>
    </xf>
    <xf numFmtId="202" fontId="7" fillId="2" borderId="7" xfId="24" applyNumberFormat="1" applyFont="1" applyFill="1" applyBorder="1" applyAlignment="1">
      <alignment/>
    </xf>
    <xf numFmtId="0" fontId="4" fillId="5" borderId="0" xfId="0" applyFont="1" applyFill="1" applyAlignment="1">
      <alignment/>
    </xf>
    <xf numFmtId="0" fontId="4" fillId="0" borderId="0" xfId="0" applyFont="1" applyBorder="1" applyAlignment="1">
      <alignment/>
    </xf>
    <xf numFmtId="202" fontId="4" fillId="0" borderId="0" xfId="24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202" fontId="5" fillId="0" borderId="0" xfId="24" applyNumberFormat="1" applyFont="1" applyAlignment="1">
      <alignment/>
    </xf>
    <xf numFmtId="202" fontId="8" fillId="0" borderId="9" xfId="0" applyNumberFormat="1" applyFont="1" applyFill="1" applyBorder="1" applyAlignment="1">
      <alignment/>
    </xf>
    <xf numFmtId="49" fontId="8" fillId="0" borderId="9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9" fontId="4" fillId="2" borderId="9" xfId="0" applyNumberFormat="1" applyFont="1" applyFill="1" applyBorder="1" applyAlignment="1">
      <alignment/>
    </xf>
    <xf numFmtId="200" fontId="4" fillId="2" borderId="17" xfId="24" applyFont="1" applyFill="1" applyBorder="1" applyAlignment="1">
      <alignment/>
    </xf>
    <xf numFmtId="200" fontId="4" fillId="2" borderId="9" xfId="24" applyFont="1" applyFill="1" applyBorder="1" applyAlignment="1">
      <alignment/>
    </xf>
    <xf numFmtId="206" fontId="4" fillId="2" borderId="9" xfId="0" applyNumberFormat="1" applyFont="1" applyFill="1" applyBorder="1" applyAlignment="1">
      <alignment/>
    </xf>
    <xf numFmtId="202" fontId="4" fillId="2" borderId="9" xfId="24" applyNumberFormat="1" applyFont="1" applyFill="1" applyBorder="1" applyAlignment="1">
      <alignment/>
    </xf>
    <xf numFmtId="3" fontId="5" fillId="2" borderId="21" xfId="0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9" fontId="4" fillId="0" borderId="0" xfId="0" applyNumberFormat="1" applyFont="1" applyBorder="1" applyAlignment="1">
      <alignment/>
    </xf>
    <xf numFmtId="9" fontId="4" fillId="2" borderId="9" xfId="0" applyNumberFormat="1" applyFont="1" applyFill="1" applyBorder="1" applyAlignment="1">
      <alignment horizontal="center"/>
    </xf>
    <xf numFmtId="9" fontId="4" fillId="2" borderId="7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198" fontId="4" fillId="0" borderId="0" xfId="0" applyNumberFormat="1" applyFont="1" applyFill="1" applyAlignment="1">
      <alignment/>
    </xf>
    <xf numFmtId="0" fontId="4" fillId="0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38" fontId="8" fillId="0" borderId="10" xfId="0" applyNumberFormat="1" applyFont="1" applyBorder="1" applyAlignment="1">
      <alignment/>
    </xf>
    <xf numFmtId="200" fontId="8" fillId="0" borderId="10" xfId="0" applyNumberFormat="1" applyFont="1" applyBorder="1" applyAlignment="1">
      <alignment/>
    </xf>
    <xf numFmtId="202" fontId="8" fillId="0" borderId="10" xfId="0" applyNumberFormat="1" applyFont="1" applyBorder="1" applyAlignment="1">
      <alignment/>
    </xf>
    <xf numFmtId="202" fontId="8" fillId="0" borderId="7" xfId="0" applyNumberFormat="1" applyFont="1" applyBorder="1" applyAlignment="1">
      <alignment/>
    </xf>
    <xf numFmtId="202" fontId="8" fillId="0" borderId="10" xfId="0" applyNumberFormat="1" applyFont="1" applyFill="1" applyBorder="1" applyAlignment="1">
      <alignment/>
    </xf>
    <xf numFmtId="202" fontId="8" fillId="0" borderId="7" xfId="0" applyNumberFormat="1" applyFont="1" applyFill="1" applyBorder="1" applyAlignment="1">
      <alignment/>
    </xf>
    <xf numFmtId="200" fontId="8" fillId="0" borderId="14" xfId="24" applyFont="1" applyFill="1" applyBorder="1" applyAlignment="1">
      <alignment/>
    </xf>
    <xf numFmtId="200" fontId="8" fillId="0" borderId="0" xfId="24" applyFont="1" applyAlignment="1">
      <alignment/>
    </xf>
    <xf numFmtId="200" fontId="8" fillId="0" borderId="15" xfId="24" applyFont="1" applyBorder="1" applyAlignment="1">
      <alignment/>
    </xf>
    <xf numFmtId="0" fontId="7" fillId="2" borderId="17" xfId="0" applyFont="1" applyFill="1" applyBorder="1" applyAlignment="1">
      <alignment horizontal="center"/>
    </xf>
    <xf numFmtId="15" fontId="7" fillId="2" borderId="9" xfId="0" applyNumberFormat="1" applyFont="1" applyFill="1" applyBorder="1" applyAlignment="1">
      <alignment horizontal="center"/>
    </xf>
    <xf numFmtId="38" fontId="8" fillId="0" borderId="9" xfId="0" applyNumberFormat="1" applyFont="1" applyBorder="1" applyAlignment="1">
      <alignment/>
    </xf>
    <xf numFmtId="202" fontId="8" fillId="0" borderId="11" xfId="0" applyNumberFormat="1" applyFont="1" applyFill="1" applyBorder="1" applyAlignment="1">
      <alignment/>
    </xf>
    <xf numFmtId="202" fontId="8" fillId="0" borderId="15" xfId="0" applyNumberFormat="1" applyFont="1" applyFill="1" applyBorder="1" applyAlignment="1">
      <alignment/>
    </xf>
    <xf numFmtId="202" fontId="8" fillId="0" borderId="18" xfId="0" applyNumberFormat="1" applyFont="1" applyFill="1" applyBorder="1" applyAlignment="1">
      <alignment/>
    </xf>
    <xf numFmtId="202" fontId="8" fillId="0" borderId="9" xfId="24" applyNumberFormat="1" applyFont="1" applyFill="1" applyBorder="1" applyAlignment="1">
      <alignment/>
    </xf>
    <xf numFmtId="202" fontId="7" fillId="0" borderId="15" xfId="0" applyNumberFormat="1" applyFont="1" applyFill="1" applyBorder="1" applyAlignment="1">
      <alignment/>
    </xf>
    <xf numFmtId="200" fontId="8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 wrapText="1"/>
    </xf>
    <xf numFmtId="200" fontId="8" fillId="0" borderId="0" xfId="24" applyFont="1" applyBorder="1" applyAlignment="1">
      <alignment horizontal="right" wrapText="1"/>
    </xf>
    <xf numFmtId="200" fontId="8" fillId="0" borderId="9" xfId="24" applyFont="1" applyBorder="1" applyAlignment="1">
      <alignment horizontal="right" wrapText="1"/>
    </xf>
    <xf numFmtId="200" fontId="7" fillId="2" borderId="5" xfId="24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0" fontId="19" fillId="0" borderId="9" xfId="0" applyFont="1" applyFill="1" applyBorder="1" applyAlignment="1">
      <alignment/>
    </xf>
    <xf numFmtId="202" fontId="8" fillId="0" borderId="9" xfId="24" applyNumberFormat="1" applyFont="1" applyBorder="1" applyAlignment="1">
      <alignment/>
    </xf>
    <xf numFmtId="0" fontId="8" fillId="0" borderId="0" xfId="0" applyFont="1" applyFill="1" applyAlignment="1">
      <alignment/>
    </xf>
    <xf numFmtId="0" fontId="5" fillId="0" borderId="7" xfId="0" applyFont="1" applyBorder="1" applyAlignment="1">
      <alignment horizontal="center" wrapText="1"/>
    </xf>
    <xf numFmtId="49" fontId="5" fillId="0" borderId="7" xfId="0" applyNumberFormat="1" applyFont="1" applyBorder="1" applyAlignment="1">
      <alignment wrapText="1"/>
    </xf>
    <xf numFmtId="49" fontId="5" fillId="0" borderId="9" xfId="0" applyNumberFormat="1" applyFont="1" applyFill="1" applyBorder="1" applyAlignment="1">
      <alignment wrapText="1"/>
    </xf>
    <xf numFmtId="200" fontId="8" fillId="0" borderId="10" xfId="24" applyFont="1" applyBorder="1" applyAlignment="1">
      <alignment horizontal="right"/>
    </xf>
    <xf numFmtId="202" fontId="4" fillId="0" borderId="16" xfId="24" applyNumberFormat="1" applyFont="1" applyFill="1" applyBorder="1" applyAlignment="1">
      <alignment/>
    </xf>
    <xf numFmtId="202" fontId="4" fillId="0" borderId="10" xfId="24" applyNumberFormat="1" applyFont="1" applyFill="1" applyBorder="1" applyAlignment="1">
      <alignment horizontal="center"/>
    </xf>
    <xf numFmtId="202" fontId="5" fillId="0" borderId="14" xfId="24" applyNumberFormat="1" applyFont="1" applyFill="1" applyBorder="1" applyAlignment="1">
      <alignment/>
    </xf>
    <xf numFmtId="202" fontId="4" fillId="0" borderId="14" xfId="24" applyNumberFormat="1" applyFont="1" applyFill="1" applyBorder="1" applyAlignment="1">
      <alignment horizontal="center"/>
    </xf>
    <xf numFmtId="202" fontId="5" fillId="0" borderId="14" xfId="24" applyNumberFormat="1" applyFont="1" applyBorder="1" applyAlignment="1">
      <alignment/>
    </xf>
    <xf numFmtId="202" fontId="5" fillId="0" borderId="15" xfId="24" applyNumberFormat="1" applyFont="1" applyFill="1" applyBorder="1" applyAlignment="1">
      <alignment/>
    </xf>
    <xf numFmtId="202" fontId="5" fillId="0" borderId="14" xfId="24" applyNumberFormat="1" applyFont="1" applyFill="1" applyBorder="1" applyAlignment="1">
      <alignment horizontal="right"/>
    </xf>
    <xf numFmtId="202" fontId="4" fillId="0" borderId="15" xfId="24" applyNumberFormat="1" applyFont="1" applyFill="1" applyBorder="1" applyAlignment="1">
      <alignment horizontal="right"/>
    </xf>
    <xf numFmtId="202" fontId="4" fillId="0" borderId="14" xfId="24" applyNumberFormat="1" applyFont="1" applyFill="1" applyBorder="1" applyAlignment="1">
      <alignment/>
    </xf>
    <xf numFmtId="202" fontId="4" fillId="0" borderId="14" xfId="24" applyNumberFormat="1" applyFont="1" applyBorder="1" applyAlignment="1">
      <alignment/>
    </xf>
    <xf numFmtId="202" fontId="5" fillId="2" borderId="15" xfId="24" applyNumberFormat="1" applyFont="1" applyFill="1" applyBorder="1" applyAlignment="1">
      <alignment/>
    </xf>
    <xf numFmtId="202" fontId="4" fillId="0" borderId="21" xfId="24" applyNumberFormat="1" applyFont="1" applyFill="1" applyBorder="1" applyAlignment="1">
      <alignment/>
    </xf>
    <xf numFmtId="202" fontId="4" fillId="0" borderId="21" xfId="24" applyNumberFormat="1" applyFont="1" applyFill="1" applyBorder="1" applyAlignment="1">
      <alignment horizontal="right"/>
    </xf>
    <xf numFmtId="202" fontId="4" fillId="0" borderId="21" xfId="24" applyNumberFormat="1" applyFont="1" applyBorder="1" applyAlignment="1">
      <alignment/>
    </xf>
    <xf numFmtId="9" fontId="8" fillId="0" borderId="0" xfId="93" applyFont="1" applyAlignment="1">
      <alignment/>
    </xf>
    <xf numFmtId="9" fontId="8" fillId="0" borderId="0" xfId="93" applyFont="1" applyFill="1" applyAlignment="1">
      <alignment/>
    </xf>
    <xf numFmtId="9" fontId="7" fillId="0" borderId="10" xfId="93" applyFont="1" applyBorder="1" applyAlignment="1">
      <alignment horizontal="right" wrapText="1"/>
    </xf>
    <xf numFmtId="0" fontId="5" fillId="0" borderId="10" xfId="93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9" xfId="0" applyFont="1" applyFill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9" xfId="0" applyFont="1" applyBorder="1" applyAlignment="1">
      <alignment/>
    </xf>
    <xf numFmtId="49" fontId="24" fillId="0" borderId="10" xfId="0" applyNumberFormat="1" applyFont="1" applyBorder="1" applyAlignment="1">
      <alignment horizontal="right" wrapText="1"/>
    </xf>
    <xf numFmtId="0" fontId="24" fillId="0" borderId="0" xfId="0" applyFont="1" applyAlignment="1">
      <alignment/>
    </xf>
    <xf numFmtId="15" fontId="5" fillId="2" borderId="12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3" fontId="26" fillId="2" borderId="7" xfId="0" applyNumberFormat="1" applyFont="1" applyFill="1" applyBorder="1" applyAlignment="1">
      <alignment horizontal="center"/>
    </xf>
    <xf numFmtId="49" fontId="26" fillId="0" borderId="10" xfId="0" applyNumberFormat="1" applyFont="1" applyBorder="1" applyAlignment="1">
      <alignment horizontal="right" wrapText="1"/>
    </xf>
    <xf numFmtId="200" fontId="25" fillId="0" borderId="10" xfId="24" applyFont="1" applyFill="1" applyBorder="1" applyAlignment="1">
      <alignment/>
    </xf>
    <xf numFmtId="200" fontId="25" fillId="0" borderId="10" xfId="0" applyNumberFormat="1" applyFont="1" applyBorder="1" applyAlignment="1">
      <alignment/>
    </xf>
    <xf numFmtId="200" fontId="25" fillId="0" borderId="10" xfId="24" applyFont="1" applyBorder="1" applyAlignment="1">
      <alignment/>
    </xf>
    <xf numFmtId="200" fontId="26" fillId="2" borderId="7" xfId="24" applyFont="1" applyFill="1" applyBorder="1" applyAlignment="1">
      <alignment/>
    </xf>
    <xf numFmtId="0" fontId="4" fillId="2" borderId="19" xfId="0" applyFont="1" applyFill="1" applyBorder="1" applyAlignment="1">
      <alignment/>
    </xf>
    <xf numFmtId="9" fontId="5" fillId="2" borderId="7" xfId="0" applyNumberFormat="1" applyFont="1" applyFill="1" applyBorder="1" applyAlignment="1">
      <alignment horizontal="center"/>
    </xf>
    <xf numFmtId="15" fontId="26" fillId="2" borderId="7" xfId="0" applyNumberFormat="1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200" fontId="25" fillId="0" borderId="10" xfId="24" applyFont="1" applyBorder="1" applyAlignment="1">
      <alignment horizontal="right" wrapText="1"/>
    </xf>
    <xf numFmtId="0" fontId="25" fillId="0" borderId="0" xfId="0" applyFont="1" applyAlignment="1">
      <alignment wrapText="1"/>
    </xf>
    <xf numFmtId="198" fontId="4" fillId="2" borderId="10" xfId="0" applyNumberFormat="1" applyFont="1" applyFill="1" applyBorder="1" applyAlignment="1">
      <alignment/>
    </xf>
    <xf numFmtId="198" fontId="5" fillId="2" borderId="7" xfId="0" applyNumberFormat="1" applyFont="1" applyFill="1" applyBorder="1" applyAlignment="1">
      <alignment/>
    </xf>
    <xf numFmtId="198" fontId="4" fillId="2" borderId="17" xfId="0" applyNumberFormat="1" applyFont="1" applyFill="1" applyBorder="1" applyAlignment="1">
      <alignment/>
    </xf>
    <xf numFmtId="198" fontId="4" fillId="2" borderId="9" xfId="0" applyNumberFormat="1" applyFont="1" applyFill="1" applyBorder="1" applyAlignment="1">
      <alignment/>
    </xf>
    <xf numFmtId="198" fontId="4" fillId="2" borderId="7" xfId="0" applyNumberFormat="1" applyFont="1" applyFill="1" applyBorder="1" applyAlignment="1">
      <alignment/>
    </xf>
    <xf numFmtId="211" fontId="4" fillId="2" borderId="10" xfId="0" applyNumberFormat="1" applyFont="1" applyFill="1" applyBorder="1" applyAlignment="1">
      <alignment/>
    </xf>
    <xf numFmtId="211" fontId="4" fillId="2" borderId="10" xfId="93" applyNumberFormat="1" applyFont="1" applyFill="1" applyBorder="1" applyAlignment="1">
      <alignment/>
    </xf>
    <xf numFmtId="211" fontId="5" fillId="2" borderId="13" xfId="93" applyNumberFormat="1" applyFont="1" applyFill="1" applyBorder="1" applyAlignment="1">
      <alignment/>
    </xf>
    <xf numFmtId="211" fontId="4" fillId="2" borderId="17" xfId="0" applyNumberFormat="1" applyFont="1" applyFill="1" applyBorder="1" applyAlignment="1">
      <alignment/>
    </xf>
    <xf numFmtId="211" fontId="4" fillId="2" borderId="9" xfId="0" applyNumberFormat="1" applyFont="1" applyFill="1" applyBorder="1" applyAlignment="1">
      <alignment/>
    </xf>
    <xf numFmtId="211" fontId="4" fillId="2" borderId="9" xfId="93" applyNumberFormat="1" applyFont="1" applyFill="1" applyBorder="1" applyAlignment="1">
      <alignment/>
    </xf>
    <xf numFmtId="198" fontId="25" fillId="0" borderId="10" xfId="0" applyNumberFormat="1" applyFont="1" applyBorder="1" applyAlignment="1">
      <alignment horizontal="right" wrapText="1"/>
    </xf>
    <xf numFmtId="198" fontId="4" fillId="0" borderId="10" xfId="0" applyNumberFormat="1" applyFont="1" applyBorder="1" applyAlignment="1">
      <alignment horizontal="right" wrapText="1"/>
    </xf>
    <xf numFmtId="198" fontId="4" fillId="0" borderId="10" xfId="0" applyNumberFormat="1" applyFont="1" applyBorder="1" applyAlignment="1">
      <alignment horizontal="right"/>
    </xf>
    <xf numFmtId="198" fontId="4" fillId="0" borderId="10" xfId="0" applyNumberFormat="1" applyFont="1" applyBorder="1" applyAlignment="1">
      <alignment/>
    </xf>
    <xf numFmtId="198" fontId="4" fillId="0" borderId="10" xfId="24" applyNumberFormat="1" applyFont="1" applyBorder="1" applyAlignment="1">
      <alignment/>
    </xf>
    <xf numFmtId="198" fontId="8" fillId="0" borderId="10" xfId="0" applyNumberFormat="1" applyFont="1" applyBorder="1" applyAlignment="1">
      <alignment horizontal="right" wrapText="1"/>
    </xf>
    <xf numFmtId="198" fontId="25" fillId="0" borderId="10" xfId="24" applyNumberFormat="1" applyFont="1" applyBorder="1" applyAlignment="1">
      <alignment/>
    </xf>
    <xf numFmtId="198" fontId="4" fillId="0" borderId="10" xfId="24" applyNumberFormat="1" applyFont="1" applyFill="1" applyBorder="1" applyAlignment="1">
      <alignment/>
    </xf>
    <xf numFmtId="198" fontId="8" fillId="0" borderId="10" xfId="24" applyNumberFormat="1" applyFont="1" applyBorder="1" applyAlignment="1">
      <alignment/>
    </xf>
    <xf numFmtId="198" fontId="8" fillId="0" borderId="10" xfId="0" applyNumberFormat="1" applyFont="1" applyFill="1" applyBorder="1" applyAlignment="1">
      <alignment/>
    </xf>
    <xf numFmtId="198" fontId="25" fillId="0" borderId="10" xfId="24" applyNumberFormat="1" applyFont="1" applyFill="1" applyBorder="1" applyAlignment="1">
      <alignment/>
    </xf>
    <xf numFmtId="198" fontId="8" fillId="0" borderId="10" xfId="0" applyNumberFormat="1" applyFont="1" applyBorder="1" applyAlignment="1">
      <alignment/>
    </xf>
    <xf numFmtId="198" fontId="26" fillId="0" borderId="7" xfId="24" applyNumberFormat="1" applyFont="1" applyBorder="1" applyAlignment="1">
      <alignment/>
    </xf>
    <xf numFmtId="198" fontId="5" fillId="0" borderId="7" xfId="24" applyNumberFormat="1" applyFont="1" applyBorder="1" applyAlignment="1">
      <alignment/>
    </xf>
    <xf numFmtId="198" fontId="5" fillId="0" borderId="7" xfId="24" applyNumberFormat="1" applyFont="1" applyFill="1" applyBorder="1" applyAlignment="1">
      <alignment/>
    </xf>
    <xf numFmtId="198" fontId="7" fillId="0" borderId="7" xfId="24" applyNumberFormat="1" applyFont="1" applyBorder="1" applyAlignment="1">
      <alignment/>
    </xf>
    <xf numFmtId="198" fontId="25" fillId="0" borderId="10" xfId="24" applyNumberFormat="1" applyFont="1" applyBorder="1" applyAlignment="1">
      <alignment horizontal="right" wrapText="1"/>
    </xf>
    <xf numFmtId="198" fontId="4" fillId="0" borderId="7" xfId="0" applyNumberFormat="1" applyFont="1" applyBorder="1" applyAlignment="1">
      <alignment/>
    </xf>
    <xf numFmtId="198" fontId="26" fillId="2" borderId="7" xfId="24" applyNumberFormat="1" applyFont="1" applyFill="1" applyBorder="1" applyAlignment="1">
      <alignment/>
    </xf>
    <xf numFmtId="198" fontId="5" fillId="2" borderId="7" xfId="24" applyNumberFormat="1" applyFont="1" applyFill="1" applyBorder="1" applyAlignment="1">
      <alignment/>
    </xf>
    <xf numFmtId="198" fontId="7" fillId="2" borderId="7" xfId="24" applyNumberFormat="1" applyFont="1" applyFill="1" applyBorder="1" applyAlignment="1">
      <alignment/>
    </xf>
    <xf numFmtId="198" fontId="7" fillId="2" borderId="7" xfId="0" applyNumberFormat="1" applyFont="1" applyFill="1" applyBorder="1" applyAlignment="1">
      <alignment/>
    </xf>
    <xf numFmtId="198" fontId="4" fillId="0" borderId="10" xfId="24" applyNumberFormat="1" applyFont="1" applyFill="1" applyBorder="1" applyAlignment="1">
      <alignment horizontal="right"/>
    </xf>
    <xf numFmtId="198" fontId="4" fillId="0" borderId="10" xfId="24" applyNumberFormat="1" applyFont="1" applyBorder="1" applyAlignment="1">
      <alignment horizontal="right"/>
    </xf>
    <xf numFmtId="198" fontId="8" fillId="0" borderId="10" xfId="24" applyNumberFormat="1" applyFont="1" applyBorder="1" applyAlignment="1">
      <alignment horizontal="right" wrapText="1"/>
    </xf>
    <xf numFmtId="198" fontId="4" fillId="0" borderId="10" xfId="24" applyNumberFormat="1" applyFont="1" applyFill="1" applyBorder="1" applyAlignment="1">
      <alignment horizontal="right" wrapText="1"/>
    </xf>
    <xf numFmtId="198" fontId="4" fillId="0" borderId="9" xfId="24" applyNumberFormat="1" applyFont="1" applyFill="1" applyBorder="1" applyAlignment="1">
      <alignment horizontal="center" wrapText="1"/>
    </xf>
    <xf numFmtId="198" fontId="4" fillId="0" borderId="9" xfId="24" applyNumberFormat="1" applyFont="1" applyFill="1" applyBorder="1" applyAlignment="1">
      <alignment horizontal="right" wrapText="1"/>
    </xf>
    <xf numFmtId="198" fontId="4" fillId="0" borderId="10" xfId="24" applyNumberFormat="1" applyFont="1" applyBorder="1" applyAlignment="1">
      <alignment horizontal="right" wrapText="1"/>
    </xf>
    <xf numFmtId="198" fontId="5" fillId="2" borderId="7" xfId="24" applyNumberFormat="1" applyFont="1" applyFill="1" applyBorder="1" applyAlignment="1">
      <alignment/>
    </xf>
    <xf numFmtId="198" fontId="4" fillId="2" borderId="7" xfId="0" applyNumberFormat="1" applyFont="1" applyFill="1" applyBorder="1" applyAlignment="1">
      <alignment horizontal="right"/>
    </xf>
    <xf numFmtId="198" fontId="4" fillId="0" borderId="10" xfId="0" applyNumberFormat="1" applyFont="1" applyBorder="1" applyAlignment="1">
      <alignment horizontal="center"/>
    </xf>
    <xf numFmtId="198" fontId="4" fillId="0" borderId="10" xfId="24" applyNumberFormat="1" applyFont="1" applyFill="1" applyBorder="1" applyAlignment="1">
      <alignment horizontal="center" wrapText="1"/>
    </xf>
    <xf numFmtId="198" fontId="4" fillId="0" borderId="10" xfId="24" applyNumberFormat="1" applyFont="1" applyBorder="1" applyAlignment="1">
      <alignment/>
    </xf>
    <xf numFmtId="198" fontId="4" fillId="0" borderId="10" xfId="24" applyNumberFormat="1" applyFont="1" applyBorder="1" applyAlignment="1">
      <alignment/>
    </xf>
    <xf numFmtId="198" fontId="8" fillId="0" borderId="10" xfId="24" applyNumberFormat="1" applyFont="1" applyBorder="1" applyAlignment="1">
      <alignment horizontal="right" wrapText="1"/>
    </xf>
    <xf numFmtId="198" fontId="8" fillId="0" borderId="10" xfId="24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center"/>
    </xf>
    <xf numFmtId="200" fontId="26" fillId="0" borderId="17" xfId="24" applyFont="1" applyBorder="1" applyAlignment="1">
      <alignment horizontal="right" wrapText="1"/>
    </xf>
    <xf numFmtId="200" fontId="26" fillId="0" borderId="10" xfId="24" applyFont="1" applyBorder="1" applyAlignment="1">
      <alignment horizontal="right" wrapText="1"/>
    </xf>
    <xf numFmtId="15" fontId="7" fillId="2" borderId="7" xfId="0" applyNumberFormat="1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horizontal="center"/>
    </xf>
    <xf numFmtId="202" fontId="26" fillId="0" borderId="1" xfId="24" applyNumberFormat="1" applyFont="1" applyBorder="1" applyAlignment="1">
      <alignment horizontal="right" wrapText="1"/>
    </xf>
    <xf numFmtId="202" fontId="26" fillId="0" borderId="17" xfId="24" applyNumberFormat="1" applyFont="1" applyBorder="1" applyAlignment="1">
      <alignment horizontal="right" wrapText="1"/>
    </xf>
    <xf numFmtId="202" fontId="26" fillId="0" borderId="10" xfId="24" applyNumberFormat="1" applyFont="1" applyBorder="1" applyAlignment="1">
      <alignment horizontal="right" wrapText="1"/>
    </xf>
    <xf numFmtId="202" fontId="5" fillId="0" borderId="10" xfId="24" applyNumberFormat="1" applyFont="1" applyBorder="1" applyAlignment="1">
      <alignment horizontal="right" wrapText="1"/>
    </xf>
    <xf numFmtId="202" fontId="4" fillId="0" borderId="17" xfId="24" applyNumberFormat="1" applyFont="1" applyBorder="1" applyAlignment="1">
      <alignment/>
    </xf>
    <xf numFmtId="202" fontId="4" fillId="0" borderId="0" xfId="24" applyNumberFormat="1" applyFont="1" applyFill="1" applyBorder="1" applyAlignment="1">
      <alignment/>
    </xf>
    <xf numFmtId="202" fontId="5" fillId="0" borderId="17" xfId="24" applyNumberFormat="1" applyFont="1" applyBorder="1" applyAlignment="1">
      <alignment horizontal="right" wrapText="1"/>
    </xf>
    <xf numFmtId="202" fontId="7" fillId="0" borderId="9" xfId="24" applyNumberFormat="1" applyFont="1" applyBorder="1" applyAlignment="1">
      <alignment horizontal="right" wrapText="1"/>
    </xf>
    <xf numFmtId="202" fontId="25" fillId="0" borderId="0" xfId="24" applyNumberFormat="1" applyFont="1" applyBorder="1" applyAlignment="1">
      <alignment horizontal="right" wrapText="1"/>
    </xf>
    <xf numFmtId="202" fontId="25" fillId="0" borderId="9" xfId="24" applyNumberFormat="1" applyFont="1" applyBorder="1" applyAlignment="1">
      <alignment horizontal="right" wrapText="1"/>
    </xf>
    <xf numFmtId="202" fontId="25" fillId="0" borderId="10" xfId="24" applyNumberFormat="1" applyFont="1" applyBorder="1" applyAlignment="1">
      <alignment horizontal="right" wrapText="1"/>
    </xf>
    <xf numFmtId="202" fontId="4" fillId="0" borderId="9" xfId="24" applyNumberFormat="1" applyFont="1" applyBorder="1" applyAlignment="1">
      <alignment horizontal="right" wrapText="1"/>
    </xf>
    <xf numFmtId="202" fontId="8" fillId="0" borderId="9" xfId="24" applyNumberFormat="1" applyFont="1" applyBorder="1" applyAlignment="1">
      <alignment horizontal="right" wrapText="1"/>
    </xf>
    <xf numFmtId="202" fontId="25" fillId="0" borderId="0" xfId="24" applyNumberFormat="1" applyFont="1" applyBorder="1" applyAlignment="1">
      <alignment/>
    </xf>
    <xf numFmtId="202" fontId="25" fillId="0" borderId="9" xfId="24" applyNumberFormat="1" applyFont="1" applyFill="1" applyBorder="1" applyAlignment="1">
      <alignment/>
    </xf>
    <xf numFmtId="202" fontId="25" fillId="0" borderId="10" xfId="24" applyNumberFormat="1" applyFont="1" applyFill="1" applyBorder="1" applyAlignment="1">
      <alignment/>
    </xf>
    <xf numFmtId="202" fontId="4" fillId="0" borderId="9" xfId="24" applyNumberFormat="1" applyFont="1" applyFill="1" applyBorder="1" applyAlignment="1">
      <alignment horizontal="right"/>
    </xf>
    <xf numFmtId="202" fontId="8" fillId="0" borderId="9" xfId="24" applyNumberFormat="1" applyFont="1" applyBorder="1" applyAlignment="1">
      <alignment/>
    </xf>
    <xf numFmtId="202" fontId="8" fillId="0" borderId="10" xfId="24" applyNumberFormat="1" applyFont="1" applyBorder="1" applyAlignment="1">
      <alignment/>
    </xf>
    <xf numFmtId="202" fontId="8" fillId="0" borderId="9" xfId="0" applyNumberFormat="1" applyFont="1" applyBorder="1" applyAlignment="1">
      <alignment/>
    </xf>
    <xf numFmtId="202" fontId="4" fillId="0" borderId="0" xfId="24" applyNumberFormat="1" applyFont="1" applyFill="1" applyBorder="1" applyAlignment="1">
      <alignment horizontal="right"/>
    </xf>
    <xf numFmtId="202" fontId="8" fillId="0" borderId="9" xfId="24" applyNumberFormat="1" applyFont="1" applyFill="1" applyBorder="1" applyAlignment="1">
      <alignment/>
    </xf>
    <xf numFmtId="202" fontId="8" fillId="0" borderId="10" xfId="24" applyNumberFormat="1" applyFont="1" applyFill="1" applyBorder="1" applyAlignment="1">
      <alignment/>
    </xf>
    <xf numFmtId="202" fontId="25" fillId="0" borderId="18" xfId="24" applyNumberFormat="1" applyFont="1" applyBorder="1" applyAlignment="1">
      <alignment/>
    </xf>
    <xf numFmtId="202" fontId="25" fillId="0" borderId="10" xfId="24" applyNumberFormat="1" applyFont="1" applyBorder="1" applyAlignment="1">
      <alignment/>
    </xf>
    <xf numFmtId="202" fontId="26" fillId="2" borderId="7" xfId="24" applyNumberFormat="1" applyFont="1" applyFill="1" applyBorder="1" applyAlignment="1">
      <alignment/>
    </xf>
    <xf numFmtId="202" fontId="5" fillId="2" borderId="5" xfId="24" applyNumberFormat="1" applyFont="1" applyFill="1" applyBorder="1" applyAlignment="1">
      <alignment/>
    </xf>
    <xf numFmtId="14" fontId="5" fillId="2" borderId="21" xfId="0" applyNumberFormat="1" applyFont="1" applyFill="1" applyBorder="1" applyAlignment="1">
      <alignment horizontal="center"/>
    </xf>
    <xf numFmtId="202" fontId="26" fillId="0" borderId="10" xfId="24" applyNumberFormat="1" applyFont="1" applyBorder="1" applyAlignment="1">
      <alignment/>
    </xf>
    <xf numFmtId="202" fontId="5" fillId="0" borderId="10" xfId="24" applyNumberFormat="1" applyFont="1" applyBorder="1" applyAlignment="1">
      <alignment/>
    </xf>
    <xf numFmtId="202" fontId="7" fillId="0" borderId="9" xfId="24" applyNumberFormat="1" applyFont="1" applyBorder="1" applyAlignment="1">
      <alignment/>
    </xf>
    <xf numFmtId="202" fontId="7" fillId="0" borderId="9" xfId="24" applyNumberFormat="1" applyFont="1" applyBorder="1" applyAlignment="1">
      <alignment/>
    </xf>
    <xf numFmtId="202" fontId="26" fillId="2" borderId="13" xfId="24" applyNumberFormat="1" applyFont="1" applyFill="1" applyBorder="1" applyAlignment="1">
      <alignment/>
    </xf>
    <xf numFmtId="202" fontId="15" fillId="2" borderId="13" xfId="24" applyNumberFormat="1" applyFont="1" applyFill="1" applyBorder="1" applyAlignment="1">
      <alignment/>
    </xf>
    <xf numFmtId="202" fontId="15" fillId="2" borderId="3" xfId="24" applyNumberFormat="1" applyFont="1" applyFill="1" applyBorder="1" applyAlignment="1">
      <alignment/>
    </xf>
    <xf numFmtId="202" fontId="7" fillId="2" borderId="7" xfId="24" applyNumberFormat="1" applyFont="1" applyFill="1" applyBorder="1" applyAlignment="1">
      <alignment/>
    </xf>
    <xf numFmtId="202" fontId="7" fillId="2" borderId="13" xfId="24" applyNumberFormat="1" applyFont="1" applyFill="1" applyBorder="1" applyAlignment="1">
      <alignment/>
    </xf>
    <xf numFmtId="198" fontId="4" fillId="0" borderId="9" xfId="0" applyNumberFormat="1" applyFont="1" applyBorder="1" applyAlignment="1">
      <alignment/>
    </xf>
    <xf numFmtId="198" fontId="4" fillId="0" borderId="9" xfId="24" applyNumberFormat="1" applyFont="1" applyBorder="1" applyAlignment="1">
      <alignment/>
    </xf>
    <xf numFmtId="198" fontId="4" fillId="0" borderId="0" xfId="0" applyNumberFormat="1" applyFont="1" applyAlignment="1">
      <alignment/>
    </xf>
    <xf numFmtId="211" fontId="5" fillId="2" borderId="7" xfId="93" applyNumberFormat="1" applyFont="1" applyFill="1" applyBorder="1" applyAlignment="1">
      <alignment/>
    </xf>
    <xf numFmtId="3" fontId="26" fillId="2" borderId="13" xfId="0" applyNumberFormat="1" applyFont="1" applyFill="1" applyBorder="1" applyAlignment="1">
      <alignment horizontal="center"/>
    </xf>
    <xf numFmtId="9" fontId="26" fillId="2" borderId="13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202" fontId="26" fillId="2" borderId="7" xfId="24" applyNumberFormat="1" applyFont="1" applyFill="1" applyBorder="1" applyAlignment="1">
      <alignment/>
    </xf>
    <xf numFmtId="198" fontId="4" fillId="0" borderId="9" xfId="0" applyNumberFormat="1" applyFont="1" applyFill="1" applyBorder="1" applyAlignment="1">
      <alignment/>
    </xf>
    <xf numFmtId="198" fontId="8" fillId="0" borderId="0" xfId="24" applyNumberFormat="1" applyFont="1" applyBorder="1" applyAlignment="1">
      <alignment/>
    </xf>
    <xf numFmtId="198" fontId="8" fillId="0" borderId="9" xfId="24" applyNumberFormat="1" applyFont="1" applyBorder="1" applyAlignment="1">
      <alignment/>
    </xf>
    <xf numFmtId="198" fontId="4" fillId="0" borderId="10" xfId="0" applyNumberFormat="1" applyFont="1" applyFill="1" applyBorder="1" applyAlignment="1">
      <alignment horizontal="right" wrapText="1"/>
    </xf>
    <xf numFmtId="198" fontId="8" fillId="0" borderId="18" xfId="24" applyNumberFormat="1" applyFont="1" applyBorder="1" applyAlignment="1">
      <alignment/>
    </xf>
    <xf numFmtId="200" fontId="26" fillId="0" borderId="0" xfId="24" applyFont="1" applyBorder="1" applyAlignment="1">
      <alignment horizontal="right" wrapText="1"/>
    </xf>
    <xf numFmtId="200" fontId="25" fillId="0" borderId="10" xfId="24" applyFont="1" applyFill="1" applyBorder="1" applyAlignment="1">
      <alignment horizontal="right" wrapText="1"/>
    </xf>
    <xf numFmtId="200" fontId="25" fillId="0" borderId="0" xfId="24" applyFont="1" applyFill="1" applyBorder="1" applyAlignment="1">
      <alignment horizontal="right" wrapText="1"/>
    </xf>
    <xf numFmtId="200" fontId="25" fillId="0" borderId="9" xfId="24" applyFont="1" applyFill="1" applyBorder="1" applyAlignment="1">
      <alignment horizontal="right" wrapText="1"/>
    </xf>
    <xf numFmtId="198" fontId="25" fillId="0" borderId="0" xfId="24" applyNumberFormat="1" applyFont="1" applyFill="1" applyBorder="1" applyAlignment="1">
      <alignment/>
    </xf>
    <xf numFmtId="198" fontId="25" fillId="0" borderId="9" xfId="24" applyNumberFormat="1" applyFont="1" applyFill="1" applyBorder="1" applyAlignment="1">
      <alignment/>
    </xf>
    <xf numFmtId="198" fontId="25" fillId="0" borderId="0" xfId="24" applyNumberFormat="1" applyFont="1" applyFill="1" applyAlignment="1">
      <alignment/>
    </xf>
    <xf numFmtId="198" fontId="25" fillId="0" borderId="18" xfId="24" applyNumberFormat="1" applyFont="1" applyFill="1" applyBorder="1" applyAlignment="1">
      <alignment/>
    </xf>
    <xf numFmtId="15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200" fontId="25" fillId="0" borderId="0" xfId="24" applyFont="1" applyAlignment="1">
      <alignment/>
    </xf>
    <xf numFmtId="3" fontId="8" fillId="0" borderId="9" xfId="0" applyNumberFormat="1" applyFont="1" applyBorder="1" applyAlignment="1">
      <alignment/>
    </xf>
    <xf numFmtId="198" fontId="4" fillId="0" borderId="10" xfId="0" applyNumberFormat="1" applyFont="1" applyFill="1" applyBorder="1" applyAlignment="1">
      <alignment/>
    </xf>
    <xf numFmtId="198" fontId="4" fillId="0" borderId="9" xfId="24" applyNumberFormat="1" applyFont="1" applyFill="1" applyBorder="1" applyAlignment="1">
      <alignment horizontal="right"/>
    </xf>
    <xf numFmtId="198" fontId="4" fillId="0" borderId="7" xfId="24" applyNumberFormat="1" applyFont="1" applyBorder="1" applyAlignment="1">
      <alignment/>
    </xf>
    <xf numFmtId="198" fontId="4" fillId="0" borderId="7" xfId="24" applyNumberFormat="1" applyFont="1" applyFill="1" applyBorder="1" applyAlignment="1">
      <alignment/>
    </xf>
    <xf numFmtId="198" fontId="7" fillId="0" borderId="7" xfId="0" applyNumberFormat="1" applyFont="1" applyFill="1" applyBorder="1" applyAlignment="1">
      <alignment/>
    </xf>
    <xf numFmtId="198" fontId="4" fillId="0" borderId="9" xfId="0" applyNumberFormat="1" applyFont="1" applyFill="1" applyBorder="1" applyAlignment="1">
      <alignment horizontal="right"/>
    </xf>
    <xf numFmtId="198" fontId="4" fillId="0" borderId="10" xfId="0" applyNumberFormat="1" applyFont="1" applyFill="1" applyBorder="1" applyAlignment="1">
      <alignment horizontal="right"/>
    </xf>
    <xf numFmtId="198" fontId="4" fillId="0" borderId="9" xfId="0" applyNumberFormat="1" applyFont="1" applyBorder="1" applyAlignment="1">
      <alignment horizontal="center"/>
    </xf>
    <xf numFmtId="198" fontId="4" fillId="0" borderId="9" xfId="24" applyNumberFormat="1" applyFont="1" applyFill="1" applyBorder="1" applyAlignment="1">
      <alignment horizontal="center"/>
    </xf>
    <xf numFmtId="198" fontId="8" fillId="0" borderId="10" xfId="0" applyNumberFormat="1" applyFont="1" applyFill="1" applyBorder="1" applyAlignment="1">
      <alignment horizontal="right" wrapText="1"/>
    </xf>
    <xf numFmtId="198" fontId="24" fillId="0" borderId="10" xfId="24" applyNumberFormat="1" applyFont="1" applyBorder="1" applyAlignment="1">
      <alignment horizontal="right" wrapText="1"/>
    </xf>
    <xf numFmtId="198" fontId="24" fillId="0" borderId="9" xfId="24" applyNumberFormat="1" applyFont="1" applyFill="1" applyBorder="1" applyAlignment="1">
      <alignment horizontal="right"/>
    </xf>
    <xf numFmtId="198" fontId="24" fillId="0" borderId="10" xfId="24" applyNumberFormat="1" applyFont="1" applyFill="1" applyBorder="1" applyAlignment="1">
      <alignment horizontal="right"/>
    </xf>
    <xf numFmtId="198" fontId="4" fillId="0" borderId="18" xfId="24" applyNumberFormat="1" applyFont="1" applyBorder="1" applyAlignment="1">
      <alignment horizontal="center"/>
    </xf>
    <xf numFmtId="198" fontId="4" fillId="0" borderId="10" xfId="24" applyNumberFormat="1" applyFont="1" applyBorder="1" applyAlignment="1">
      <alignment horizontal="center"/>
    </xf>
    <xf numFmtId="198" fontId="5" fillId="0" borderId="13" xfId="24" applyNumberFormat="1" applyFont="1" applyFill="1" applyBorder="1" applyAlignment="1">
      <alignment/>
    </xf>
    <xf numFmtId="198" fontId="7" fillId="0" borderId="13" xfId="0" applyNumberFormat="1" applyFont="1" applyFill="1" applyBorder="1" applyAlignment="1">
      <alignment/>
    </xf>
    <xf numFmtId="198" fontId="4" fillId="2" borderId="9" xfId="24" applyNumberFormat="1" applyFont="1" applyFill="1" applyBorder="1" applyAlignment="1">
      <alignment/>
    </xf>
    <xf numFmtId="198" fontId="25" fillId="0" borderId="17" xfId="0" applyNumberFormat="1" applyFont="1" applyBorder="1" applyAlignment="1">
      <alignment horizontal="right" wrapText="1"/>
    </xf>
    <xf numFmtId="198" fontId="25" fillId="0" borderId="9" xfId="0" applyNumberFormat="1" applyFont="1" applyBorder="1" applyAlignment="1">
      <alignment horizontal="right" wrapText="1"/>
    </xf>
    <xf numFmtId="198" fontId="25" fillId="0" borderId="9" xfId="24" applyNumberFormat="1" applyFont="1" applyBorder="1" applyAlignment="1">
      <alignment horizontal="right" wrapText="1"/>
    </xf>
    <xf numFmtId="198" fontId="25" fillId="0" borderId="9" xfId="24" applyNumberFormat="1" applyFont="1" applyFill="1" applyBorder="1" applyAlignment="1">
      <alignment horizontal="right" wrapText="1"/>
    </xf>
    <xf numFmtId="198" fontId="25" fillId="0" borderId="10" xfId="24" applyNumberFormat="1" applyFont="1" applyFill="1" applyBorder="1" applyAlignment="1">
      <alignment horizontal="right"/>
    </xf>
    <xf numFmtId="198" fontId="26" fillId="0" borderId="12" xfId="24" applyNumberFormat="1" applyFont="1" applyBorder="1" applyAlignment="1">
      <alignment horizontal="right" wrapText="1"/>
    </xf>
    <xf numFmtId="198" fontId="26" fillId="0" borderId="9" xfId="24" applyNumberFormat="1" applyFont="1" applyBorder="1" applyAlignment="1">
      <alignment horizontal="right" wrapText="1"/>
    </xf>
    <xf numFmtId="198" fontId="25" fillId="0" borderId="23" xfId="24" applyNumberFormat="1" applyFont="1" applyBorder="1" applyAlignment="1">
      <alignment horizontal="right" wrapText="1"/>
    </xf>
    <xf numFmtId="198" fontId="25" fillId="0" borderId="18" xfId="24" applyNumberFormat="1" applyFont="1" applyBorder="1" applyAlignment="1">
      <alignment horizontal="right" wrapText="1"/>
    </xf>
    <xf numFmtId="198" fontId="26" fillId="0" borderId="7" xfId="24" applyNumberFormat="1" applyFont="1" applyFill="1" applyBorder="1" applyAlignment="1">
      <alignment/>
    </xf>
    <xf numFmtId="198" fontId="26" fillId="0" borderId="13" xfId="24" applyNumberFormat="1" applyFont="1" applyFill="1" applyBorder="1" applyAlignment="1">
      <alignment/>
    </xf>
    <xf numFmtId="198" fontId="25" fillId="0" borderId="10" xfId="24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center"/>
    </xf>
    <xf numFmtId="198" fontId="26" fillId="0" borderId="7" xfId="24" applyNumberFormat="1" applyFont="1" applyBorder="1" applyAlignment="1">
      <alignment/>
    </xf>
    <xf numFmtId="198" fontId="5" fillId="0" borderId="7" xfId="24" applyNumberFormat="1" applyFont="1" applyFill="1" applyBorder="1" applyAlignment="1">
      <alignment/>
    </xf>
    <xf numFmtId="0" fontId="5" fillId="0" borderId="7" xfId="0" applyFont="1" applyBorder="1" applyAlignment="1">
      <alignment horizontal="left"/>
    </xf>
    <xf numFmtId="0" fontId="5" fillId="0" borderId="13" xfId="0" applyFont="1" applyBorder="1" applyAlignment="1">
      <alignment wrapText="1"/>
    </xf>
    <xf numFmtId="198" fontId="26" fillId="2" borderId="7" xfId="24" applyNumberFormat="1" applyFont="1" applyFill="1" applyBorder="1" applyAlignment="1">
      <alignment/>
    </xf>
    <xf numFmtId="198" fontId="5" fillId="2" borderId="7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6" fillId="2" borderId="20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3" fontId="26" fillId="2" borderId="7" xfId="0" applyNumberFormat="1" applyFont="1" applyFill="1" applyBorder="1" applyAlignment="1">
      <alignment horizontal="center"/>
    </xf>
    <xf numFmtId="49" fontId="26" fillId="0" borderId="10" xfId="0" applyNumberFormat="1" applyFont="1" applyBorder="1" applyAlignment="1">
      <alignment horizontal="right" wrapText="1"/>
    </xf>
    <xf numFmtId="49" fontId="25" fillId="0" borderId="10" xfId="0" applyNumberFormat="1" applyFont="1" applyBorder="1" applyAlignment="1">
      <alignment horizontal="right" wrapText="1"/>
    </xf>
    <xf numFmtId="40" fontId="25" fillId="0" borderId="10" xfId="0" applyNumberFormat="1" applyFont="1" applyBorder="1" applyAlignment="1">
      <alignment horizontal="right" wrapText="1"/>
    </xf>
    <xf numFmtId="40" fontId="26" fillId="2" borderId="7" xfId="0" applyNumberFormat="1" applyFont="1" applyFill="1" applyBorder="1" applyAlignment="1">
      <alignment/>
    </xf>
    <xf numFmtId="200" fontId="26" fillId="2" borderId="7" xfId="24" applyFont="1" applyFill="1" applyBorder="1" applyAlignment="1">
      <alignment/>
    </xf>
    <xf numFmtId="0" fontId="25" fillId="0" borderId="0" xfId="0" applyFont="1" applyAlignment="1">
      <alignment wrapText="1"/>
    </xf>
    <xf numFmtId="198" fontId="25" fillId="2" borderId="7" xfId="24" applyNumberFormat="1" applyFont="1" applyFill="1" applyBorder="1" applyAlignment="1">
      <alignment/>
    </xf>
    <xf numFmtId="202" fontId="25" fillId="0" borderId="10" xfId="0" applyNumberFormat="1" applyFont="1" applyBorder="1" applyAlignment="1">
      <alignment horizontal="right" wrapText="1"/>
    </xf>
    <xf numFmtId="202" fontId="4" fillId="0" borderId="10" xfId="0" applyNumberFormat="1" applyFont="1" applyBorder="1" applyAlignment="1">
      <alignment horizontal="right" wrapText="1"/>
    </xf>
    <xf numFmtId="202" fontId="4" fillId="0" borderId="10" xfId="0" applyNumberFormat="1" applyFont="1" applyBorder="1" applyAlignment="1">
      <alignment/>
    </xf>
    <xf numFmtId="202" fontId="16" fillId="0" borderId="9" xfId="24" applyNumberFormat="1" applyFont="1" applyFill="1" applyBorder="1" applyAlignment="1">
      <alignment/>
    </xf>
    <xf numFmtId="202" fontId="16" fillId="0" borderId="10" xfId="24" applyNumberFormat="1" applyFont="1" applyFill="1" applyBorder="1" applyAlignment="1">
      <alignment/>
    </xf>
    <xf numFmtId="202" fontId="4" fillId="0" borderId="10" xfId="24" applyNumberFormat="1" applyFont="1" applyFill="1" applyBorder="1" applyAlignment="1">
      <alignment/>
    </xf>
    <xf numFmtId="202" fontId="4" fillId="0" borderId="0" xfId="24" applyNumberFormat="1" applyFont="1" applyBorder="1" applyAlignment="1">
      <alignment horizontal="right" wrapText="1"/>
    </xf>
    <xf numFmtId="202" fontId="4" fillId="0" borderId="9" xfId="24" applyNumberFormat="1" applyFont="1" applyBorder="1" applyAlignment="1">
      <alignment horizontal="right" wrapText="1"/>
    </xf>
    <xf numFmtId="202" fontId="25" fillId="0" borderId="10" xfId="24" applyNumberFormat="1" applyFont="1" applyBorder="1" applyAlignment="1">
      <alignment horizontal="right" wrapText="1"/>
    </xf>
    <xf numFmtId="202" fontId="4" fillId="0" borderId="10" xfId="24" applyNumberFormat="1" applyFont="1" applyBorder="1" applyAlignment="1">
      <alignment horizontal="right" wrapText="1"/>
    </xf>
    <xf numFmtId="202" fontId="4" fillId="0" borderId="18" xfId="24" applyNumberFormat="1" applyFont="1" applyBorder="1" applyAlignment="1">
      <alignment horizontal="right" wrapText="1"/>
    </xf>
    <xf numFmtId="202" fontId="4" fillId="2" borderId="7" xfId="24" applyNumberFormat="1" applyFont="1" applyFill="1" applyBorder="1" applyAlignment="1">
      <alignment/>
    </xf>
    <xf numFmtId="0" fontId="25" fillId="0" borderId="0" xfId="0" applyFont="1" applyAlignment="1">
      <alignment horizontal="center"/>
    </xf>
    <xf numFmtId="15" fontId="26" fillId="2" borderId="13" xfId="0" applyNumberFormat="1" applyFont="1" applyFill="1" applyBorder="1" applyAlignment="1">
      <alignment horizontal="center"/>
    </xf>
    <xf numFmtId="198" fontId="26" fillId="2" borderId="7" xfId="24" applyNumberFormat="1" applyFont="1" applyFill="1" applyBorder="1" applyAlignment="1">
      <alignment/>
    </xf>
    <xf numFmtId="198" fontId="25" fillId="0" borderId="10" xfId="24" applyNumberFormat="1" applyFont="1" applyBorder="1" applyAlignment="1">
      <alignment/>
    </xf>
    <xf numFmtId="0" fontId="25" fillId="0" borderId="0" xfId="0" applyFont="1" applyAlignment="1">
      <alignment horizontal="center" wrapText="1"/>
    </xf>
    <xf numFmtId="211" fontId="4" fillId="0" borderId="0" xfId="0" applyNumberFormat="1" applyFont="1" applyAlignment="1">
      <alignment/>
    </xf>
    <xf numFmtId="198" fontId="25" fillId="2" borderId="10" xfId="0" applyNumberFormat="1" applyFont="1" applyFill="1" applyBorder="1" applyAlignment="1">
      <alignment/>
    </xf>
    <xf numFmtId="9" fontId="25" fillId="2" borderId="10" xfId="0" applyNumberFormat="1" applyFont="1" applyFill="1" applyBorder="1" applyAlignment="1">
      <alignment/>
    </xf>
    <xf numFmtId="201" fontId="25" fillId="2" borderId="10" xfId="0" applyNumberFormat="1" applyFont="1" applyFill="1" applyBorder="1" applyAlignment="1">
      <alignment/>
    </xf>
    <xf numFmtId="211" fontId="25" fillId="2" borderId="10" xfId="93" applyNumberFormat="1" applyFont="1" applyFill="1" applyBorder="1" applyAlignment="1">
      <alignment/>
    </xf>
    <xf numFmtId="211" fontId="25" fillId="2" borderId="10" xfId="0" applyNumberFormat="1" applyFont="1" applyFill="1" applyBorder="1" applyAlignment="1">
      <alignment/>
    </xf>
    <xf numFmtId="49" fontId="5" fillId="0" borderId="7" xfId="0" applyNumberFormat="1" applyFont="1" applyBorder="1" applyAlignment="1">
      <alignment horizontal="center" wrapText="1"/>
    </xf>
    <xf numFmtId="198" fontId="26" fillId="2" borderId="7" xfId="24" applyNumberFormat="1" applyFont="1" applyFill="1" applyBorder="1" applyAlignment="1">
      <alignment/>
    </xf>
    <xf numFmtId="198" fontId="5" fillId="2" borderId="7" xfId="0" applyNumberFormat="1" applyFont="1" applyFill="1" applyBorder="1" applyAlignment="1">
      <alignment horizontal="right"/>
    </xf>
    <xf numFmtId="198" fontId="26" fillId="2" borderId="7" xfId="0" applyNumberFormat="1" applyFont="1" applyFill="1" applyBorder="1" applyAlignment="1">
      <alignment/>
    </xf>
    <xf numFmtId="200" fontId="7" fillId="0" borderId="10" xfId="24" applyFont="1" applyBorder="1" applyAlignment="1">
      <alignment horizontal="right" wrapText="1"/>
    </xf>
    <xf numFmtId="198" fontId="8" fillId="0" borderId="10" xfId="24" applyNumberFormat="1" applyFont="1" applyBorder="1" applyAlignment="1">
      <alignment horizontal="right"/>
    </xf>
    <xf numFmtId="198" fontId="7" fillId="2" borderId="7" xfId="24" applyNumberFormat="1" applyFont="1" applyFill="1" applyBorder="1" applyAlignment="1">
      <alignment/>
    </xf>
    <xf numFmtId="198" fontId="8" fillId="0" borderId="10" xfId="0" applyNumberFormat="1" applyFont="1" applyFill="1" applyBorder="1" applyAlignment="1">
      <alignment/>
    </xf>
    <xf numFmtId="198" fontId="7" fillId="2" borderId="7" xfId="0" applyNumberFormat="1" applyFont="1" applyFill="1" applyBorder="1" applyAlignment="1">
      <alignment/>
    </xf>
    <xf numFmtId="0" fontId="8" fillId="0" borderId="0" xfId="0" applyFont="1" applyAlignment="1">
      <alignment horizontal="center" wrapText="1"/>
    </xf>
    <xf numFmtId="200" fontId="8" fillId="0" borderId="0" xfId="24" applyFont="1" applyAlignment="1">
      <alignment horizontal="center"/>
    </xf>
    <xf numFmtId="3" fontId="25" fillId="0" borderId="0" xfId="0" applyNumberFormat="1" applyFont="1" applyAlignment="1">
      <alignment/>
    </xf>
    <xf numFmtId="38" fontId="25" fillId="0" borderId="10" xfId="0" applyNumberFormat="1" applyFont="1" applyBorder="1" applyAlignment="1">
      <alignment/>
    </xf>
    <xf numFmtId="200" fontId="25" fillId="0" borderId="12" xfId="24" applyFont="1" applyFill="1" applyBorder="1" applyAlignment="1">
      <alignment/>
    </xf>
    <xf numFmtId="200" fontId="26" fillId="0" borderId="7" xfId="24" applyFont="1" applyFill="1" applyBorder="1" applyAlignment="1">
      <alignment/>
    </xf>
    <xf numFmtId="200" fontId="25" fillId="0" borderId="0" xfId="24" applyFont="1" applyFill="1" applyBorder="1" applyAlignment="1">
      <alignment/>
    </xf>
    <xf numFmtId="200" fontId="26" fillId="0" borderId="5" xfId="24" applyFont="1" applyFill="1" applyBorder="1" applyAlignment="1">
      <alignment/>
    </xf>
    <xf numFmtId="200" fontId="26" fillId="0" borderId="15" xfId="24" applyFont="1" applyFill="1" applyBorder="1" applyAlignment="1">
      <alignment/>
    </xf>
    <xf numFmtId="200" fontId="25" fillId="0" borderId="0" xfId="24" applyNumberFormat="1" applyFont="1" applyAlignment="1">
      <alignment/>
    </xf>
    <xf numFmtId="200" fontId="25" fillId="0" borderId="15" xfId="24" applyFont="1" applyBorder="1" applyAlignment="1">
      <alignment/>
    </xf>
    <xf numFmtId="200" fontId="4" fillId="0" borderId="14" xfId="24" applyFont="1" applyBorder="1" applyAlignment="1">
      <alignment horizontal="right"/>
    </xf>
    <xf numFmtId="200" fontId="4" fillId="0" borderId="15" xfId="24" applyFont="1" applyBorder="1" applyAlignment="1">
      <alignment horizontal="right"/>
    </xf>
    <xf numFmtId="200" fontId="25" fillId="0" borderId="10" xfId="0" applyNumberFormat="1" applyFont="1" applyBorder="1" applyAlignment="1">
      <alignment horizontal="right" wrapText="1"/>
    </xf>
    <xf numFmtId="200" fontId="26" fillId="2" borderId="7" xfId="24" applyNumberFormat="1" applyFont="1" applyFill="1" applyBorder="1" applyAlignment="1">
      <alignment/>
    </xf>
    <xf numFmtId="198" fontId="4" fillId="0" borderId="11" xfId="24" applyNumberFormat="1" applyFont="1" applyFill="1" applyBorder="1" applyAlignment="1">
      <alignment/>
    </xf>
    <xf numFmtId="198" fontId="8" fillId="0" borderId="11" xfId="0" applyNumberFormat="1" applyFont="1" applyFill="1" applyBorder="1" applyAlignment="1">
      <alignment/>
    </xf>
    <xf numFmtId="198" fontId="4" fillId="2" borderId="7" xfId="24" applyNumberFormat="1" applyFont="1" applyFill="1" applyBorder="1" applyAlignment="1">
      <alignment/>
    </xf>
    <xf numFmtId="198" fontId="8" fillId="0" borderId="7" xfId="0" applyNumberFormat="1" applyFont="1" applyFill="1" applyBorder="1" applyAlignment="1">
      <alignment/>
    </xf>
    <xf numFmtId="198" fontId="4" fillId="2" borderId="18" xfId="24" applyNumberFormat="1" applyFont="1" applyFill="1" applyBorder="1" applyAlignment="1">
      <alignment/>
    </xf>
    <xf numFmtId="198" fontId="4" fillId="2" borderId="7" xfId="24" applyNumberFormat="1" applyFont="1" applyFill="1" applyBorder="1" applyAlignment="1">
      <alignment horizontal="right"/>
    </xf>
    <xf numFmtId="200" fontId="25" fillId="0" borderId="23" xfId="24" applyFont="1" applyFill="1" applyBorder="1" applyAlignment="1">
      <alignment/>
    </xf>
    <xf numFmtId="200" fontId="26" fillId="0" borderId="24" xfId="24" applyFont="1" applyFill="1" applyBorder="1" applyAlignment="1">
      <alignment/>
    </xf>
    <xf numFmtId="3" fontId="25" fillId="0" borderId="0" xfId="0" applyNumberFormat="1" applyFont="1" applyAlignment="1">
      <alignment/>
    </xf>
    <xf numFmtId="38" fontId="25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40" fontId="25" fillId="0" borderId="10" xfId="0" applyNumberFormat="1" applyFont="1" applyBorder="1" applyAlignment="1">
      <alignment/>
    </xf>
    <xf numFmtId="40" fontId="4" fillId="0" borderId="10" xfId="0" applyNumberFormat="1" applyFont="1" applyBorder="1" applyAlignment="1">
      <alignment horizontal="right"/>
    </xf>
    <xf numFmtId="202" fontId="25" fillId="0" borderId="10" xfId="24" applyNumberFormat="1" applyFont="1" applyBorder="1" applyAlignment="1">
      <alignment/>
    </xf>
    <xf numFmtId="202" fontId="4" fillId="0" borderId="10" xfId="24" applyNumberFormat="1" applyFont="1" applyBorder="1" applyAlignment="1">
      <alignment horizontal="right"/>
    </xf>
    <xf numFmtId="9" fontId="4" fillId="2" borderId="10" xfId="93" applyFont="1" applyFill="1" applyBorder="1" applyAlignment="1">
      <alignment/>
    </xf>
    <xf numFmtId="207" fontId="4" fillId="2" borderId="9" xfId="0" applyNumberFormat="1" applyFont="1" applyFill="1" applyBorder="1" applyAlignment="1">
      <alignment/>
    </xf>
    <xf numFmtId="202" fontId="4" fillId="0" borderId="0" xfId="0" applyNumberFormat="1" applyFont="1" applyAlignment="1">
      <alignment/>
    </xf>
    <xf numFmtId="40" fontId="4" fillId="0" borderId="9" xfId="0" applyNumberFormat="1" applyFont="1" applyBorder="1" applyAlignment="1">
      <alignment/>
    </xf>
    <xf numFmtId="200" fontId="25" fillId="0" borderId="10" xfId="24" applyFont="1" applyBorder="1" applyAlignment="1">
      <alignment/>
    </xf>
    <xf numFmtId="200" fontId="25" fillId="0" borderId="0" xfId="24" applyFont="1" applyAlignment="1">
      <alignment/>
    </xf>
    <xf numFmtId="202" fontId="5" fillId="0" borderId="10" xfId="24" applyNumberFormat="1" applyFont="1" applyFill="1" applyBorder="1" applyAlignment="1">
      <alignment/>
    </xf>
    <xf numFmtId="0" fontId="4" fillId="0" borderId="10" xfId="0" applyFont="1" applyBorder="1" applyAlignment="1" quotePrefix="1">
      <alignment horizontal="center"/>
    </xf>
    <xf numFmtId="198" fontId="24" fillId="0" borderId="10" xfId="24" applyNumberFormat="1" applyFont="1" applyFill="1" applyBorder="1" applyAlignment="1">
      <alignment horizontal="right" wrapText="1"/>
    </xf>
    <xf numFmtId="202" fontId="4" fillId="0" borderId="0" xfId="0" applyNumberFormat="1" applyFont="1" applyAlignment="1">
      <alignment/>
    </xf>
    <xf numFmtId="198" fontId="8" fillId="0" borderId="10" xfId="24" applyNumberFormat="1" applyFont="1" applyFill="1" applyBorder="1" applyAlignment="1">
      <alignment/>
    </xf>
    <xf numFmtId="198" fontId="26" fillId="0" borderId="10" xfId="0" applyNumberFormat="1" applyFont="1" applyBorder="1" applyAlignment="1">
      <alignment horizontal="right" wrapText="1"/>
    </xf>
    <xf numFmtId="198" fontId="4" fillId="0" borderId="17" xfId="0" applyNumberFormat="1" applyFont="1" applyBorder="1" applyAlignment="1">
      <alignment horizontal="right"/>
    </xf>
    <xf numFmtId="198" fontId="8" fillId="0" borderId="10" xfId="24" applyNumberFormat="1" applyFont="1" applyFill="1" applyBorder="1" applyAlignment="1">
      <alignment/>
    </xf>
    <xf numFmtId="198" fontId="8" fillId="0" borderId="10" xfId="24" applyNumberFormat="1" applyFont="1" applyBorder="1" applyAlignment="1">
      <alignment horizontal="center"/>
    </xf>
    <xf numFmtId="198" fontId="5" fillId="2" borderId="13" xfId="24" applyNumberFormat="1" applyFont="1" applyFill="1" applyBorder="1" applyAlignment="1">
      <alignment/>
    </xf>
    <xf numFmtId="198" fontId="4" fillId="0" borderId="9" xfId="0" applyNumberFormat="1" applyFont="1" applyBorder="1" applyAlignment="1">
      <alignment horizontal="right"/>
    </xf>
    <xf numFmtId="198" fontId="4" fillId="2" borderId="13" xfId="24" applyNumberFormat="1" applyFont="1" applyFill="1" applyBorder="1" applyAlignment="1">
      <alignment/>
    </xf>
    <xf numFmtId="211" fontId="4" fillId="2" borderId="13" xfId="93" applyNumberFormat="1" applyFont="1" applyFill="1" applyBorder="1" applyAlignment="1">
      <alignment/>
    </xf>
    <xf numFmtId="211" fontId="4" fillId="2" borderId="14" xfId="93" applyNumberFormat="1" applyFont="1" applyFill="1" applyBorder="1" applyAlignment="1">
      <alignment/>
    </xf>
    <xf numFmtId="38" fontId="4" fillId="2" borderId="9" xfId="0" applyNumberFormat="1" applyFont="1" applyFill="1" applyBorder="1" applyAlignment="1">
      <alignment/>
    </xf>
    <xf numFmtId="200" fontId="4" fillId="2" borderId="9" xfId="0" applyNumberFormat="1" applyFont="1" applyFill="1" applyBorder="1" applyAlignment="1">
      <alignment/>
    </xf>
    <xf numFmtId="40" fontId="4" fillId="2" borderId="9" xfId="0" applyNumberFormat="1" applyFont="1" applyFill="1" applyBorder="1" applyAlignment="1">
      <alignment/>
    </xf>
    <xf numFmtId="198" fontId="4" fillId="2" borderId="9" xfId="0" applyNumberFormat="1" applyFont="1" applyFill="1" applyBorder="1" applyAlignment="1">
      <alignment/>
    </xf>
    <xf numFmtId="211" fontId="4" fillId="2" borderId="9" xfId="0" applyNumberFormat="1" applyFont="1" applyFill="1" applyBorder="1" applyAlignment="1">
      <alignment/>
    </xf>
    <xf numFmtId="211" fontId="4" fillId="2" borderId="10" xfId="93" applyNumberFormat="1" applyFont="1" applyFill="1" applyBorder="1" applyAlignment="1">
      <alignment/>
    </xf>
    <xf numFmtId="202" fontId="4" fillId="0" borderId="10" xfId="24" applyNumberFormat="1" applyFont="1" applyFill="1" applyBorder="1" applyAlignment="1">
      <alignment horizontal="right"/>
    </xf>
    <xf numFmtId="202" fontId="5" fillId="2" borderId="7" xfId="24" applyNumberFormat="1" applyFont="1" applyFill="1" applyBorder="1" applyAlignment="1">
      <alignment horizontal="right"/>
    </xf>
    <xf numFmtId="211" fontId="4" fillId="2" borderId="17" xfId="93" applyNumberFormat="1" applyFont="1" applyFill="1" applyBorder="1" applyAlignment="1">
      <alignment horizontal="right"/>
    </xf>
    <xf numFmtId="211" fontId="4" fillId="2" borderId="9" xfId="93" applyNumberFormat="1" applyFont="1" applyFill="1" applyBorder="1" applyAlignment="1">
      <alignment horizontal="right"/>
    </xf>
    <xf numFmtId="211" fontId="4" fillId="2" borderId="18" xfId="93" applyNumberFormat="1" applyFont="1" applyFill="1" applyBorder="1" applyAlignment="1">
      <alignment horizontal="right"/>
    </xf>
    <xf numFmtId="43" fontId="4" fillId="0" borderId="0" xfId="0" applyNumberFormat="1" applyFont="1" applyBorder="1" applyAlignment="1">
      <alignment/>
    </xf>
    <xf numFmtId="3" fontId="23" fillId="0" borderId="0" xfId="0" applyNumberFormat="1" applyFont="1" applyAlignment="1">
      <alignment horizontal="center"/>
    </xf>
    <xf numFmtId="0" fontId="5" fillId="2" borderId="12" xfId="0" applyFont="1" applyFill="1" applyBorder="1" applyAlignment="1">
      <alignment horizontal="center"/>
    </xf>
    <xf numFmtId="15" fontId="26" fillId="2" borderId="12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38" fontId="8" fillId="0" borderId="17" xfId="0" applyNumberFormat="1" applyFont="1" applyBorder="1" applyAlignment="1">
      <alignment/>
    </xf>
    <xf numFmtId="49" fontId="28" fillId="0" borderId="10" xfId="62" applyNumberFormat="1" applyFont="1" applyBorder="1" applyAlignment="1">
      <alignment horizontal="center" wrapText="1"/>
    </xf>
    <xf numFmtId="202" fontId="8" fillId="0" borderId="9" xfId="0" applyNumberFormat="1" applyFont="1" applyBorder="1" applyAlignment="1">
      <alignment/>
    </xf>
    <xf numFmtId="49" fontId="28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202" fontId="7" fillId="0" borderId="7" xfId="0" applyNumberFormat="1" applyFont="1" applyBorder="1" applyAlignment="1">
      <alignment/>
    </xf>
    <xf numFmtId="49" fontId="5" fillId="2" borderId="7" xfId="0" applyNumberFormat="1" applyFont="1" applyFill="1" applyBorder="1" applyAlignment="1">
      <alignment horizontal="center" wrapText="1"/>
    </xf>
    <xf numFmtId="49" fontId="28" fillId="0" borderId="10" xfId="62" applyNumberFormat="1" applyFont="1" applyBorder="1" applyAlignment="1">
      <alignment horizontal="center"/>
    </xf>
    <xf numFmtId="202" fontId="4" fillId="0" borderId="7" xfId="24" applyNumberFormat="1" applyFont="1" applyFill="1" applyBorder="1" applyAlignment="1">
      <alignment/>
    </xf>
    <xf numFmtId="202" fontId="8" fillId="0" borderId="13" xfId="24" applyNumberFormat="1" applyFont="1" applyBorder="1" applyAlignment="1">
      <alignment/>
    </xf>
    <xf numFmtId="202" fontId="7" fillId="0" borderId="7" xfId="24" applyNumberFormat="1" applyFont="1" applyBorder="1" applyAlignment="1">
      <alignment/>
    </xf>
    <xf numFmtId="38" fontId="8" fillId="0" borderId="16" xfId="0" applyNumberFormat="1" applyFont="1" applyBorder="1" applyAlignment="1">
      <alignment/>
    </xf>
    <xf numFmtId="38" fontId="7" fillId="0" borderId="13" xfId="0" applyNumberFormat="1" applyFont="1" applyBorder="1" applyAlignment="1">
      <alignment/>
    </xf>
    <xf numFmtId="49" fontId="5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center" wrapText="1"/>
    </xf>
    <xf numFmtId="38" fontId="8" fillId="2" borderId="19" xfId="0" applyNumberFormat="1" applyFont="1" applyFill="1" applyBorder="1" applyAlignment="1">
      <alignment/>
    </xf>
    <xf numFmtId="49" fontId="5" fillId="2" borderId="21" xfId="0" applyNumberFormat="1" applyFont="1" applyFill="1" applyBorder="1" applyAlignment="1">
      <alignment wrapText="1"/>
    </xf>
    <xf numFmtId="49" fontId="4" fillId="2" borderId="21" xfId="0" applyNumberFormat="1" applyFont="1" applyFill="1" applyBorder="1" applyAlignment="1">
      <alignment horizontal="center" wrapText="1"/>
    </xf>
    <xf numFmtId="38" fontId="7" fillId="2" borderId="21" xfId="0" applyNumberFormat="1" applyFont="1" applyFill="1" applyBorder="1" applyAlignment="1">
      <alignment/>
    </xf>
    <xf numFmtId="200" fontId="5" fillId="2" borderId="7" xfId="24" applyFont="1" applyFill="1" applyBorder="1" applyAlignment="1">
      <alignment horizontal="center"/>
    </xf>
    <xf numFmtId="202" fontId="5" fillId="0" borderId="10" xfId="24" applyNumberFormat="1" applyFont="1" applyFill="1" applyBorder="1" applyAlignment="1">
      <alignment horizontal="right" wrapText="1"/>
    </xf>
    <xf numFmtId="202" fontId="4" fillId="0" borderId="10" xfId="24" applyNumberFormat="1" applyFont="1" applyFill="1" applyBorder="1" applyAlignment="1">
      <alignment horizontal="right" wrapText="1"/>
    </xf>
    <xf numFmtId="198" fontId="4" fillId="0" borderId="10" xfId="0" applyNumberFormat="1" applyFont="1" applyFill="1" applyBorder="1" applyAlignment="1">
      <alignment horizontal="center"/>
    </xf>
    <xf numFmtId="198" fontId="4" fillId="0" borderId="17" xfId="0" applyNumberFormat="1" applyFont="1" applyFill="1" applyBorder="1" applyAlignment="1">
      <alignment horizontal="center"/>
    </xf>
    <xf numFmtId="198" fontId="4" fillId="0" borderId="9" xfId="0" applyNumberFormat="1" applyFont="1" applyFill="1" applyBorder="1" applyAlignment="1">
      <alignment horizontal="center"/>
    </xf>
    <xf numFmtId="198" fontId="24" fillId="0" borderId="9" xfId="24" applyNumberFormat="1" applyFont="1" applyFill="1" applyBorder="1" applyAlignment="1">
      <alignment horizontal="center"/>
    </xf>
    <xf numFmtId="200" fontId="8" fillId="0" borderId="0" xfId="24" applyFont="1" applyAlignment="1">
      <alignment/>
    </xf>
    <xf numFmtId="200" fontId="5" fillId="2" borderId="17" xfId="24" applyFont="1" applyFill="1" applyBorder="1" applyAlignment="1">
      <alignment horizontal="center"/>
    </xf>
    <xf numFmtId="200" fontId="5" fillId="2" borderId="13" xfId="24" applyFont="1" applyFill="1" applyBorder="1" applyAlignment="1">
      <alignment horizontal="center"/>
    </xf>
    <xf numFmtId="200" fontId="5" fillId="2" borderId="18" xfId="24" applyFont="1" applyFill="1" applyBorder="1" applyAlignment="1">
      <alignment horizontal="center"/>
    </xf>
    <xf numFmtId="200" fontId="8" fillId="0" borderId="10" xfId="24" applyFont="1" applyBorder="1" applyAlignment="1">
      <alignment/>
    </xf>
    <xf numFmtId="49" fontId="5" fillId="0" borderId="11" xfId="0" applyNumberFormat="1" applyFont="1" applyFill="1" applyBorder="1" applyAlignment="1">
      <alignment horizontal="center" wrapText="1"/>
    </xf>
    <xf numFmtId="200" fontId="8" fillId="0" borderId="11" xfId="24" applyFont="1" applyFill="1" applyBorder="1" applyAlignment="1">
      <alignment/>
    </xf>
    <xf numFmtId="200" fontId="8" fillId="0" borderId="9" xfId="24" applyFont="1" applyBorder="1" applyAlignment="1">
      <alignment/>
    </xf>
    <xf numFmtId="200" fontId="8" fillId="0" borderId="9" xfId="24" applyFont="1" applyFill="1" applyBorder="1" applyAlignment="1">
      <alignment/>
    </xf>
    <xf numFmtId="49" fontId="5" fillId="0" borderId="9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200" fontId="8" fillId="0" borderId="10" xfId="24" applyFont="1" applyFill="1" applyBorder="1" applyAlignment="1">
      <alignment/>
    </xf>
    <xf numFmtId="200" fontId="8" fillId="0" borderId="17" xfId="24" applyFont="1" applyFill="1" applyBorder="1" applyAlignment="1">
      <alignment/>
    </xf>
    <xf numFmtId="49" fontId="9" fillId="0" borderId="9" xfId="0" applyNumberFormat="1" applyFont="1" applyFill="1" applyBorder="1" applyAlignment="1">
      <alignment wrapText="1"/>
    </xf>
    <xf numFmtId="200" fontId="8" fillId="0" borderId="18" xfId="24" applyFont="1" applyFill="1" applyBorder="1" applyAlignment="1">
      <alignment/>
    </xf>
    <xf numFmtId="49" fontId="5" fillId="0" borderId="7" xfId="0" applyNumberFormat="1" applyFont="1" applyFill="1" applyBorder="1" applyAlignment="1">
      <alignment horizontal="center" wrapText="1"/>
    </xf>
    <xf numFmtId="200" fontId="7" fillId="0" borderId="7" xfId="24" applyFont="1" applyFill="1" applyBorder="1" applyAlignment="1">
      <alignment/>
    </xf>
    <xf numFmtId="200" fontId="5" fillId="0" borderId="5" xfId="24" applyFont="1" applyFill="1" applyBorder="1" applyAlignment="1">
      <alignment/>
    </xf>
    <xf numFmtId="49" fontId="5" fillId="0" borderId="15" xfId="0" applyNumberFormat="1" applyFont="1" applyFill="1" applyBorder="1" applyAlignment="1">
      <alignment wrapText="1"/>
    </xf>
    <xf numFmtId="49" fontId="5" fillId="0" borderId="15" xfId="0" applyNumberFormat="1" applyFont="1" applyFill="1" applyBorder="1" applyAlignment="1">
      <alignment horizontal="center" wrapText="1"/>
    </xf>
    <xf numFmtId="200" fontId="5" fillId="0" borderId="15" xfId="24" applyFont="1" applyFill="1" applyBorder="1" applyAlignment="1">
      <alignment/>
    </xf>
    <xf numFmtId="200" fontId="7" fillId="0" borderId="15" xfId="24" applyFont="1" applyFill="1" applyBorder="1" applyAlignment="1">
      <alignment/>
    </xf>
    <xf numFmtId="49" fontId="5" fillId="0" borderId="14" xfId="0" applyNumberFormat="1" applyFont="1" applyFill="1" applyBorder="1" applyAlignment="1">
      <alignment horizontal="center" wrapText="1"/>
    </xf>
    <xf numFmtId="200" fontId="8" fillId="0" borderId="14" xfId="24" applyFont="1" applyFill="1" applyBorder="1" applyAlignment="1">
      <alignment/>
    </xf>
    <xf numFmtId="200" fontId="8" fillId="0" borderId="15" xfId="24" applyFont="1" applyFill="1" applyBorder="1" applyAlignment="1">
      <alignment/>
    </xf>
    <xf numFmtId="0" fontId="5" fillId="0" borderId="0" xfId="0" applyFont="1" applyAlignment="1">
      <alignment horizontal="center"/>
    </xf>
    <xf numFmtId="200" fontId="8" fillId="0" borderId="0" xfId="24" applyNumberFormat="1" applyFont="1" applyFill="1" applyAlignment="1">
      <alignment/>
    </xf>
    <xf numFmtId="200" fontId="8" fillId="0" borderId="0" xfId="24" applyFont="1" applyFill="1" applyAlignment="1">
      <alignment/>
    </xf>
    <xf numFmtId="0" fontId="8" fillId="0" borderId="0" xfId="0" applyFont="1" applyAlignment="1">
      <alignment horizontal="left"/>
    </xf>
    <xf numFmtId="211" fontId="4" fillId="2" borderId="13" xfId="93" applyNumberFormat="1" applyFont="1" applyFill="1" applyBorder="1" applyAlignment="1">
      <alignment/>
    </xf>
    <xf numFmtId="202" fontId="4" fillId="2" borderId="15" xfId="24" applyNumberFormat="1" applyFont="1" applyFill="1" applyBorder="1" applyAlignment="1">
      <alignment/>
    </xf>
    <xf numFmtId="207" fontId="4" fillId="2" borderId="7" xfId="0" applyNumberFormat="1" applyFont="1" applyFill="1" applyBorder="1" applyAlignment="1">
      <alignment/>
    </xf>
    <xf numFmtId="9" fontId="4" fillId="2" borderId="13" xfId="93" applyFont="1" applyFill="1" applyBorder="1" applyAlignment="1">
      <alignment/>
    </xf>
    <xf numFmtId="207" fontId="5" fillId="2" borderId="7" xfId="0" applyNumberFormat="1" applyFont="1" applyFill="1" applyBorder="1" applyAlignment="1">
      <alignment/>
    </xf>
    <xf numFmtId="202" fontId="4" fillId="2" borderId="11" xfId="24" applyNumberFormat="1" applyFont="1" applyFill="1" applyBorder="1" applyAlignment="1">
      <alignment/>
    </xf>
    <xf numFmtId="211" fontId="4" fillId="2" borderId="16" xfId="93" applyNumberFormat="1" applyFont="1" applyFill="1" applyBorder="1" applyAlignment="1">
      <alignment/>
    </xf>
    <xf numFmtId="198" fontId="5" fillId="0" borderId="10" xfId="24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15" fontId="7" fillId="2" borderId="5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200" fontId="26" fillId="0" borderId="10" xfId="24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center" wrapText="1"/>
    </xf>
    <xf numFmtId="38" fontId="4" fillId="0" borderId="17" xfId="0" applyNumberFormat="1" applyFont="1" applyBorder="1" applyAlignment="1">
      <alignment/>
    </xf>
    <xf numFmtId="49" fontId="5" fillId="0" borderId="17" xfId="0" applyNumberFormat="1" applyFont="1" applyBorder="1" applyAlignment="1">
      <alignment horizontal="center" wrapText="1"/>
    </xf>
    <xf numFmtId="49" fontId="7" fillId="0" borderId="17" xfId="0" applyNumberFormat="1" applyFont="1" applyBorder="1" applyAlignment="1">
      <alignment horizontal="center" wrapText="1"/>
    </xf>
    <xf numFmtId="0" fontId="4" fillId="2" borderId="17" xfId="93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198" fontId="25" fillId="0" borderId="10" xfId="24" applyNumberFormat="1" applyFont="1" applyFill="1" applyBorder="1" applyAlignment="1">
      <alignment horizontal="center"/>
    </xf>
    <xf numFmtId="198" fontId="25" fillId="0" borderId="17" xfId="24" applyNumberFormat="1" applyFont="1" applyFill="1" applyBorder="1" applyAlignment="1">
      <alignment horizontal="center"/>
    </xf>
    <xf numFmtId="198" fontId="4" fillId="0" borderId="10" xfId="24" applyNumberFormat="1" applyFont="1" applyFill="1" applyBorder="1" applyAlignment="1">
      <alignment horizontal="center"/>
    </xf>
    <xf numFmtId="198" fontId="4" fillId="0" borderId="10" xfId="0" applyNumberFormat="1" applyFont="1" applyBorder="1" applyAlignment="1">
      <alignment horizontal="right"/>
    </xf>
    <xf numFmtId="198" fontId="4" fillId="0" borderId="9" xfId="24" applyNumberFormat="1" applyFont="1" applyBorder="1" applyAlignment="1">
      <alignment/>
    </xf>
    <xf numFmtId="198" fontId="4" fillId="0" borderId="9" xfId="0" applyNumberFormat="1" applyFont="1" applyBorder="1" applyAlignment="1">
      <alignment horizontal="center"/>
    </xf>
    <xf numFmtId="198" fontId="4" fillId="0" borderId="0" xfId="0" applyNumberFormat="1" applyFont="1" applyBorder="1" applyAlignment="1">
      <alignment horizontal="center"/>
    </xf>
    <xf numFmtId="198" fontId="8" fillId="0" borderId="9" xfId="0" applyNumberFormat="1" applyFont="1" applyBorder="1" applyAlignment="1">
      <alignment horizontal="center"/>
    </xf>
    <xf numFmtId="198" fontId="4" fillId="0" borderId="10" xfId="0" applyNumberFormat="1" applyFont="1" applyBorder="1" applyAlignment="1">
      <alignment horizontal="center"/>
    </xf>
    <xf numFmtId="198" fontId="4" fillId="2" borderId="9" xfId="93" applyNumberFormat="1" applyFont="1" applyFill="1" applyBorder="1" applyAlignment="1">
      <alignment/>
    </xf>
    <xf numFmtId="198" fontId="25" fillId="0" borderId="12" xfId="24" applyNumberFormat="1" applyFont="1" applyBorder="1" applyAlignment="1">
      <alignment horizontal="right"/>
    </xf>
    <xf numFmtId="198" fontId="25" fillId="0" borderId="9" xfId="24" applyNumberFormat="1" applyFont="1" applyBorder="1" applyAlignment="1">
      <alignment horizontal="right"/>
    </xf>
    <xf numFmtId="198" fontId="25" fillId="0" borderId="10" xfId="0" applyNumberFormat="1" applyFont="1" applyBorder="1" applyAlignment="1">
      <alignment horizontal="right"/>
    </xf>
    <xf numFmtId="198" fontId="4" fillId="0" borderId="10" xfId="24" applyNumberFormat="1" applyFont="1" applyBorder="1" applyAlignment="1">
      <alignment horizontal="right"/>
    </xf>
    <xf numFmtId="198" fontId="4" fillId="0" borderId="9" xfId="24" applyNumberFormat="1" applyFont="1" applyBorder="1" applyAlignment="1">
      <alignment horizontal="right"/>
    </xf>
    <xf numFmtId="198" fontId="4" fillId="0" borderId="9" xfId="24" applyNumberFormat="1" applyFont="1" applyFill="1" applyBorder="1" applyAlignment="1">
      <alignment horizontal="right" wrapText="1"/>
    </xf>
    <xf numFmtId="198" fontId="4" fillId="0" borderId="0" xfId="24" applyNumberFormat="1" applyFont="1" applyFill="1" applyBorder="1" applyAlignment="1">
      <alignment horizontal="right" wrapText="1"/>
    </xf>
    <xf numFmtId="198" fontId="8" fillId="0" borderId="9" xfId="24" applyNumberFormat="1" applyFont="1" applyBorder="1" applyAlignment="1">
      <alignment horizontal="right"/>
    </xf>
    <xf numFmtId="198" fontId="4" fillId="0" borderId="0" xfId="24" applyNumberFormat="1" applyFont="1" applyBorder="1" applyAlignment="1">
      <alignment horizontal="right"/>
    </xf>
    <xf numFmtId="198" fontId="4" fillId="0" borderId="9" xfId="0" applyNumberFormat="1" applyFont="1" applyBorder="1" applyAlignment="1">
      <alignment horizontal="right"/>
    </xf>
    <xf numFmtId="198" fontId="4" fillId="2" borderId="9" xfId="24" applyNumberFormat="1" applyFont="1" applyFill="1" applyBorder="1" applyAlignment="1">
      <alignment horizontal="right"/>
    </xf>
    <xf numFmtId="211" fontId="4" fillId="2" borderId="9" xfId="93" applyNumberFormat="1" applyFont="1" applyFill="1" applyBorder="1" applyAlignment="1">
      <alignment/>
    </xf>
    <xf numFmtId="198" fontId="25" fillId="0" borderId="18" xfId="24" applyNumberFormat="1" applyFont="1" applyBorder="1" applyAlignment="1">
      <alignment horizontal="right"/>
    </xf>
    <xf numFmtId="198" fontId="25" fillId="0" borderId="18" xfId="0" applyNumberFormat="1" applyFont="1" applyBorder="1" applyAlignment="1">
      <alignment horizontal="right"/>
    </xf>
    <xf numFmtId="198" fontId="4" fillId="0" borderId="18" xfId="0" applyNumberFormat="1" applyFont="1" applyBorder="1" applyAlignment="1">
      <alignment horizontal="right"/>
    </xf>
    <xf numFmtId="198" fontId="8" fillId="0" borderId="21" xfId="24" applyNumberFormat="1" applyFont="1" applyBorder="1" applyAlignment="1">
      <alignment horizontal="right"/>
    </xf>
    <xf numFmtId="198" fontId="4" fillId="0" borderId="18" xfId="24" applyNumberFormat="1" applyFont="1" applyBorder="1" applyAlignment="1">
      <alignment horizontal="right"/>
    </xf>
    <xf numFmtId="198" fontId="8" fillId="0" borderId="18" xfId="24" applyNumberFormat="1" applyFont="1" applyBorder="1" applyAlignment="1">
      <alignment horizontal="right"/>
    </xf>
    <xf numFmtId="198" fontId="8" fillId="0" borderId="25" xfId="24" applyNumberFormat="1" applyFont="1" applyBorder="1" applyAlignment="1">
      <alignment horizontal="right"/>
    </xf>
    <xf numFmtId="198" fontId="4" fillId="0" borderId="17" xfId="24" applyNumberFormat="1" applyFont="1" applyBorder="1" applyAlignment="1">
      <alignment/>
    </xf>
    <xf numFmtId="198" fontId="4" fillId="0" borderId="0" xfId="24" applyNumberFormat="1" applyFont="1" applyBorder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98" fontId="25" fillId="0" borderId="21" xfId="24" applyNumberFormat="1" applyFont="1" applyFill="1" applyBorder="1" applyAlignment="1">
      <alignment horizontal="center"/>
    </xf>
    <xf numFmtId="198" fontId="8" fillId="0" borderId="21" xfId="24" applyNumberFormat="1" applyFont="1" applyFill="1" applyBorder="1" applyAlignment="1">
      <alignment horizontal="center"/>
    </xf>
    <xf numFmtId="198" fontId="4" fillId="0" borderId="18" xfId="24" applyNumberFormat="1" applyFont="1" applyFill="1" applyBorder="1" applyAlignment="1">
      <alignment horizontal="right"/>
    </xf>
    <xf numFmtId="198" fontId="8" fillId="0" borderId="18" xfId="24" applyNumberFormat="1" applyFont="1" applyFill="1" applyBorder="1" applyAlignment="1">
      <alignment horizontal="center"/>
    </xf>
    <xf numFmtId="198" fontId="8" fillId="0" borderId="25" xfId="24" applyNumberFormat="1" applyFont="1" applyFill="1" applyBorder="1" applyAlignment="1">
      <alignment horizontal="center"/>
    </xf>
    <xf numFmtId="198" fontId="25" fillId="0" borderId="10" xfId="24" applyNumberFormat="1" applyFont="1" applyFill="1" applyBorder="1" applyAlignment="1">
      <alignment/>
    </xf>
    <xf numFmtId="198" fontId="4" fillId="0" borderId="10" xfId="24" applyNumberFormat="1" applyFont="1" applyFill="1" applyBorder="1" applyAlignment="1">
      <alignment/>
    </xf>
    <xf numFmtId="198" fontId="4" fillId="0" borderId="10" xfId="0" applyNumberFormat="1" applyFont="1" applyFill="1" applyBorder="1" applyAlignment="1">
      <alignment horizontal="right"/>
    </xf>
    <xf numFmtId="198" fontId="4" fillId="0" borderId="9" xfId="24" applyNumberFormat="1" applyFont="1" applyFill="1" applyBorder="1" applyAlignment="1">
      <alignment/>
    </xf>
    <xf numFmtId="198" fontId="4" fillId="0" borderId="0" xfId="24" applyNumberFormat="1" applyFont="1" applyFill="1" applyBorder="1" applyAlignment="1">
      <alignment/>
    </xf>
    <xf numFmtId="198" fontId="8" fillId="0" borderId="9" xfId="24" applyNumberFormat="1" applyFont="1" applyFill="1" applyBorder="1" applyAlignment="1">
      <alignment/>
    </xf>
    <xf numFmtId="198" fontId="25" fillId="0" borderId="18" xfId="24" applyNumberFormat="1" applyFont="1" applyFill="1" applyBorder="1" applyAlignment="1">
      <alignment horizontal="right"/>
    </xf>
    <xf numFmtId="198" fontId="8" fillId="0" borderId="18" xfId="24" applyNumberFormat="1" applyFont="1" applyFill="1" applyBorder="1" applyAlignment="1">
      <alignment horizontal="right"/>
    </xf>
    <xf numFmtId="198" fontId="4" fillId="0" borderId="18" xfId="24" applyNumberFormat="1" applyFont="1" applyBorder="1" applyAlignment="1">
      <alignment/>
    </xf>
    <xf numFmtId="198" fontId="8" fillId="0" borderId="25" xfId="24" applyNumberFormat="1" applyFont="1" applyFill="1" applyBorder="1" applyAlignment="1">
      <alignment horizontal="right"/>
    </xf>
    <xf numFmtId="198" fontId="25" fillId="0" borderId="23" xfId="24" applyNumberFormat="1" applyFont="1" applyFill="1" applyBorder="1" applyAlignment="1">
      <alignment horizontal="right"/>
    </xf>
    <xf numFmtId="198" fontId="4" fillId="0" borderId="21" xfId="24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198" fontId="26" fillId="0" borderId="9" xfId="24" applyNumberFormat="1" applyFont="1" applyFill="1" applyBorder="1" applyAlignment="1">
      <alignment horizontal="center"/>
    </xf>
    <xf numFmtId="198" fontId="26" fillId="0" borderId="10" xfId="24" applyNumberFormat="1" applyFont="1" applyFill="1" applyBorder="1" applyAlignment="1">
      <alignment horizontal="center"/>
    </xf>
    <xf numFmtId="198" fontId="26" fillId="0" borderId="10" xfId="0" applyNumberFormat="1" applyFont="1" applyFill="1" applyBorder="1" applyAlignment="1">
      <alignment horizontal="center"/>
    </xf>
    <xf numFmtId="198" fontId="5" fillId="0" borderId="10" xfId="0" applyNumberFormat="1" applyFont="1" applyFill="1" applyBorder="1" applyAlignment="1">
      <alignment horizontal="center"/>
    </xf>
    <xf numFmtId="198" fontId="4" fillId="0" borderId="10" xfId="24" applyNumberFormat="1" applyFont="1" applyFill="1" applyBorder="1" applyAlignment="1">
      <alignment horizontal="right"/>
    </xf>
    <xf numFmtId="198" fontId="4" fillId="0" borderId="9" xfId="24" applyNumberFormat="1" applyFont="1" applyFill="1" applyBorder="1" applyAlignment="1">
      <alignment horizontal="right"/>
    </xf>
    <xf numFmtId="198" fontId="5" fillId="0" borderId="9" xfId="24" applyNumberFormat="1" applyFont="1" applyFill="1" applyBorder="1" applyAlignment="1">
      <alignment horizontal="center"/>
    </xf>
    <xf numFmtId="198" fontId="5" fillId="0" borderId="0" xfId="24" applyNumberFormat="1" applyFont="1" applyFill="1" applyBorder="1" applyAlignment="1">
      <alignment horizontal="center"/>
    </xf>
    <xf numFmtId="198" fontId="7" fillId="0" borderId="9" xfId="24" applyNumberFormat="1" applyFont="1" applyFill="1" applyBorder="1" applyAlignment="1">
      <alignment horizontal="center"/>
    </xf>
    <xf numFmtId="198" fontId="25" fillId="0" borderId="9" xfId="24" applyNumberFormat="1" applyFont="1" applyFill="1" applyBorder="1" applyAlignment="1">
      <alignment horizontal="center"/>
    </xf>
    <xf numFmtId="198" fontId="25" fillId="0" borderId="10" xfId="0" applyNumberFormat="1" applyFont="1" applyFill="1" applyBorder="1" applyAlignment="1">
      <alignment horizontal="center"/>
    </xf>
    <xf numFmtId="198" fontId="4" fillId="0" borderId="10" xfId="0" applyNumberFormat="1" applyFont="1" applyFill="1" applyBorder="1" applyAlignment="1">
      <alignment horizontal="center"/>
    </xf>
    <xf numFmtId="198" fontId="4" fillId="0" borderId="9" xfId="24" applyNumberFormat="1" applyFont="1" applyFill="1" applyBorder="1" applyAlignment="1">
      <alignment horizontal="center"/>
    </xf>
    <xf numFmtId="198" fontId="4" fillId="0" borderId="0" xfId="24" applyNumberFormat="1" applyFont="1" applyFill="1" applyBorder="1" applyAlignment="1">
      <alignment horizontal="center"/>
    </xf>
    <xf numFmtId="198" fontId="8" fillId="0" borderId="9" xfId="24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98" fontId="26" fillId="0" borderId="10" xfId="24" applyNumberFormat="1" applyFont="1" applyFill="1" applyBorder="1" applyAlignment="1">
      <alignment/>
    </xf>
    <xf numFmtId="198" fontId="5" fillId="0" borderId="10" xfId="24" applyNumberFormat="1" applyFont="1" applyFill="1" applyBorder="1" applyAlignment="1">
      <alignment/>
    </xf>
    <xf numFmtId="198" fontId="5" fillId="0" borderId="9" xfId="24" applyNumberFormat="1" applyFont="1" applyFill="1" applyBorder="1" applyAlignment="1">
      <alignment/>
    </xf>
    <xf numFmtId="198" fontId="7" fillId="0" borderId="9" xfId="24" applyNumberFormat="1" applyFont="1" applyFill="1" applyBorder="1" applyAlignment="1">
      <alignment/>
    </xf>
    <xf numFmtId="198" fontId="25" fillId="0" borderId="10" xfId="24" applyNumberFormat="1" applyFont="1" applyFill="1" applyBorder="1" applyAlignment="1">
      <alignment horizontal="right"/>
    </xf>
    <xf numFmtId="198" fontId="5" fillId="0" borderId="10" xfId="24" applyNumberFormat="1" applyFont="1" applyFill="1" applyBorder="1" applyAlignment="1">
      <alignment horizontal="right"/>
    </xf>
    <xf numFmtId="198" fontId="5" fillId="0" borderId="10" xfId="0" applyNumberFormat="1" applyFont="1" applyFill="1" applyBorder="1" applyAlignment="1">
      <alignment horizontal="right"/>
    </xf>
    <xf numFmtId="198" fontId="5" fillId="0" borderId="9" xfId="24" applyNumberFormat="1" applyFont="1" applyFill="1" applyBorder="1" applyAlignment="1">
      <alignment horizontal="right"/>
    </xf>
    <xf numFmtId="198" fontId="5" fillId="0" borderId="0" xfId="24" applyNumberFormat="1" applyFont="1" applyFill="1" applyBorder="1" applyAlignment="1">
      <alignment horizontal="right"/>
    </xf>
    <xf numFmtId="198" fontId="7" fillId="0" borderId="9" xfId="24" applyNumberFormat="1" applyFont="1" applyFill="1" applyBorder="1" applyAlignment="1">
      <alignment horizontal="right"/>
    </xf>
    <xf numFmtId="0" fontId="5" fillId="0" borderId="12" xfId="0" applyFont="1" applyBorder="1" applyAlignment="1">
      <alignment/>
    </xf>
    <xf numFmtId="198" fontId="25" fillId="0" borderId="10" xfId="24" applyNumberFormat="1" applyFont="1" applyBorder="1" applyAlignment="1">
      <alignment horizontal="right"/>
    </xf>
    <xf numFmtId="198" fontId="5" fillId="0" borderId="0" xfId="24" applyNumberFormat="1" applyFont="1" applyBorder="1" applyAlignment="1">
      <alignment horizontal="right"/>
    </xf>
    <xf numFmtId="198" fontId="7" fillId="0" borderId="9" xfId="24" applyNumberFormat="1" applyFont="1" applyBorder="1" applyAlignment="1">
      <alignment horizontal="right"/>
    </xf>
    <xf numFmtId="198" fontId="25" fillId="0" borderId="9" xfId="24" applyNumberFormat="1" applyFont="1" applyBorder="1" applyAlignment="1">
      <alignment horizontal="center"/>
    </xf>
    <xf numFmtId="198" fontId="25" fillId="0" borderId="10" xfId="24" applyNumberFormat="1" applyFont="1" applyBorder="1" applyAlignment="1">
      <alignment horizontal="center"/>
    </xf>
    <xf numFmtId="198" fontId="4" fillId="0" borderId="9" xfId="24" applyNumberFormat="1" applyFont="1" applyBorder="1" applyAlignment="1">
      <alignment horizontal="center"/>
    </xf>
    <xf numFmtId="198" fontId="4" fillId="0" borderId="0" xfId="24" applyNumberFormat="1" applyFont="1" applyBorder="1" applyAlignment="1">
      <alignment horizontal="center"/>
    </xf>
    <xf numFmtId="198" fontId="8" fillId="0" borderId="9" xfId="24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28" fillId="0" borderId="9" xfId="62" applyFont="1" applyBorder="1" applyAlignment="1">
      <alignment horizontal="center"/>
    </xf>
    <xf numFmtId="198" fontId="25" fillId="0" borderId="10" xfId="24" applyNumberFormat="1" applyFont="1" applyBorder="1" applyAlignment="1">
      <alignment/>
    </xf>
    <xf numFmtId="198" fontId="4" fillId="0" borderId="10" xfId="0" applyNumberFormat="1" applyFont="1" applyBorder="1" applyAlignment="1">
      <alignment/>
    </xf>
    <xf numFmtId="198" fontId="26" fillId="0" borderId="13" xfId="24" applyNumberFormat="1" applyFont="1" applyBorder="1" applyAlignment="1">
      <alignment/>
    </xf>
    <xf numFmtId="198" fontId="5" fillId="0" borderId="13" xfId="24" applyNumberFormat="1" applyFont="1" applyBorder="1" applyAlignment="1">
      <alignment/>
    </xf>
    <xf numFmtId="198" fontId="5" fillId="0" borderId="13" xfId="0" applyNumberFormat="1" applyFont="1" applyBorder="1" applyAlignment="1">
      <alignment/>
    </xf>
    <xf numFmtId="198" fontId="5" fillId="0" borderId="3" xfId="24" applyNumberFormat="1" applyFont="1" applyBorder="1" applyAlignment="1">
      <alignment/>
    </xf>
    <xf numFmtId="198" fontId="25" fillId="0" borderId="10" xfId="0" applyNumberFormat="1" applyFont="1" applyBorder="1" applyAlignment="1">
      <alignment horizontal="center"/>
    </xf>
    <xf numFmtId="198" fontId="26" fillId="0" borderId="10" xfId="24" applyNumberFormat="1" applyFont="1" applyBorder="1" applyAlignment="1">
      <alignment/>
    </xf>
    <xf numFmtId="198" fontId="5" fillId="0" borderId="9" xfId="24" applyNumberFormat="1" applyFont="1" applyBorder="1" applyAlignment="1">
      <alignment/>
    </xf>
    <xf numFmtId="198" fontId="5" fillId="0" borderId="0" xfId="24" applyNumberFormat="1" applyFont="1" applyBorder="1" applyAlignment="1">
      <alignment/>
    </xf>
    <xf numFmtId="198" fontId="7" fillId="0" borderId="9" xfId="24" applyNumberFormat="1" applyFont="1" applyBorder="1" applyAlignment="1">
      <alignment/>
    </xf>
    <xf numFmtId="198" fontId="25" fillId="0" borderId="17" xfId="24" applyNumberFormat="1" applyFont="1" applyBorder="1" applyAlignment="1">
      <alignment/>
    </xf>
    <xf numFmtId="198" fontId="4" fillId="0" borderId="1" xfId="24" applyNumberFormat="1" applyFont="1" applyBorder="1" applyAlignment="1">
      <alignment/>
    </xf>
    <xf numFmtId="198" fontId="8" fillId="0" borderId="17" xfId="24" applyNumberFormat="1" applyFont="1" applyBorder="1" applyAlignment="1">
      <alignment/>
    </xf>
    <xf numFmtId="198" fontId="25" fillId="0" borderId="21" xfId="24" applyNumberFormat="1" applyFont="1" applyBorder="1" applyAlignment="1">
      <alignment horizontal="right"/>
    </xf>
    <xf numFmtId="198" fontId="4" fillId="0" borderId="21" xfId="24" applyNumberFormat="1" applyFont="1" applyBorder="1" applyAlignment="1">
      <alignment horizontal="right"/>
    </xf>
    <xf numFmtId="198" fontId="4" fillId="0" borderId="25" xfId="24" applyNumberFormat="1" applyFont="1" applyBorder="1" applyAlignment="1">
      <alignment horizontal="right"/>
    </xf>
    <xf numFmtId="198" fontId="25" fillId="0" borderId="19" xfId="24" applyNumberFormat="1" applyFont="1" applyBorder="1" applyAlignment="1">
      <alignment horizontal="center"/>
    </xf>
    <xf numFmtId="198" fontId="4" fillId="0" borderId="17" xfId="24" applyNumberFormat="1" applyFont="1" applyBorder="1" applyAlignment="1">
      <alignment horizontal="center"/>
    </xf>
    <xf numFmtId="198" fontId="4" fillId="0" borderId="1" xfId="24" applyNumberFormat="1" applyFont="1" applyBorder="1" applyAlignment="1">
      <alignment horizontal="center"/>
    </xf>
    <xf numFmtId="198" fontId="8" fillId="0" borderId="17" xfId="24" applyNumberFormat="1" applyFont="1" applyBorder="1" applyAlignment="1">
      <alignment horizontal="center"/>
    </xf>
    <xf numFmtId="198" fontId="26" fillId="0" borderId="12" xfId="24" applyNumberFormat="1" applyFont="1" applyBorder="1" applyAlignment="1">
      <alignment/>
    </xf>
    <xf numFmtId="198" fontId="5" fillId="0" borderId="12" xfId="24" applyNumberFormat="1" applyFont="1" applyBorder="1" applyAlignment="1">
      <alignment/>
    </xf>
    <xf numFmtId="198" fontId="5" fillId="0" borderId="9" xfId="0" applyNumberFormat="1" applyFont="1" applyBorder="1" applyAlignment="1">
      <alignment horizontal="right"/>
    </xf>
    <xf numFmtId="198" fontId="25" fillId="0" borderId="9" xfId="37" applyNumberFormat="1" applyFont="1" applyFill="1" applyBorder="1" applyAlignment="1">
      <alignment/>
    </xf>
    <xf numFmtId="198" fontId="26" fillId="0" borderId="9" xfId="24" applyNumberFormat="1" applyFont="1" applyBorder="1" applyAlignment="1">
      <alignment/>
    </xf>
    <xf numFmtId="0" fontId="4" fillId="0" borderId="23" xfId="0" applyFont="1" applyBorder="1" applyAlignment="1">
      <alignment/>
    </xf>
    <xf numFmtId="198" fontId="25" fillId="0" borderId="25" xfId="0" applyNumberFormat="1" applyFont="1" applyBorder="1" applyAlignment="1">
      <alignment horizontal="center"/>
    </xf>
    <xf numFmtId="198" fontId="4" fillId="0" borderId="25" xfId="0" applyNumberFormat="1" applyFont="1" applyBorder="1" applyAlignment="1">
      <alignment horizontal="center"/>
    </xf>
    <xf numFmtId="198" fontId="8" fillId="0" borderId="18" xfId="24" applyNumberFormat="1" applyFont="1" applyBorder="1" applyAlignment="1">
      <alignment horizontal="center"/>
    </xf>
    <xf numFmtId="198" fontId="4" fillId="2" borderId="18" xfId="93" applyNumberFormat="1" applyFont="1" applyFill="1" applyBorder="1" applyAlignment="1">
      <alignment horizontal="right"/>
    </xf>
    <xf numFmtId="211" fontId="4" fillId="2" borderId="18" xfId="0" applyNumberFormat="1" applyFont="1" applyFill="1" applyBorder="1" applyAlignment="1">
      <alignment/>
    </xf>
    <xf numFmtId="200" fontId="8" fillId="0" borderId="0" xfId="24" applyFont="1" applyAlignment="1">
      <alignment horizontal="center"/>
    </xf>
    <xf numFmtId="200" fontId="4" fillId="0" borderId="0" xfId="24" applyFont="1" applyAlignment="1">
      <alignment horizontal="center"/>
    </xf>
    <xf numFmtId="0" fontId="4" fillId="0" borderId="0" xfId="0" applyNumberFormat="1" applyFont="1" applyAlignment="1">
      <alignment/>
    </xf>
    <xf numFmtId="9" fontId="4" fillId="0" borderId="0" xfId="93" applyFont="1" applyAlignment="1">
      <alignment/>
    </xf>
    <xf numFmtId="9" fontId="8" fillId="0" borderId="0" xfId="93" applyFont="1" applyAlignment="1">
      <alignment horizontal="center"/>
    </xf>
    <xf numFmtId="202" fontId="25" fillId="0" borderId="0" xfId="24" applyNumberFormat="1" applyFont="1" applyAlignment="1">
      <alignment horizontal="center"/>
    </xf>
    <xf numFmtId="202" fontId="4" fillId="0" borderId="0" xfId="24" applyNumberFormat="1" applyFont="1" applyAlignment="1">
      <alignment horizontal="center"/>
    </xf>
    <xf numFmtId="198" fontId="25" fillId="0" borderId="0" xfId="0" applyNumberFormat="1" applyFont="1" applyAlignment="1">
      <alignment horizontal="center"/>
    </xf>
    <xf numFmtId="200" fontId="4" fillId="0" borderId="0" xfId="0" applyNumberFormat="1" applyFont="1" applyAlignment="1">
      <alignment horizontal="center"/>
    </xf>
    <xf numFmtId="202" fontId="4" fillId="0" borderId="18" xfId="24" applyNumberFormat="1" applyFont="1" applyFill="1" applyBorder="1" applyAlignment="1">
      <alignment horizontal="right"/>
    </xf>
    <xf numFmtId="198" fontId="5" fillId="2" borderId="13" xfId="0" applyNumberFormat="1" applyFont="1" applyFill="1" applyBorder="1" applyAlignment="1">
      <alignment/>
    </xf>
    <xf numFmtId="3" fontId="5" fillId="6" borderId="7" xfId="0" applyNumberFormat="1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15" fontId="5" fillId="6" borderId="12" xfId="0" applyNumberFormat="1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 wrapText="1"/>
    </xf>
    <xf numFmtId="0" fontId="4" fillId="0" borderId="16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9" xfId="0" applyNumberFormat="1" applyFont="1" applyFill="1" applyBorder="1" applyAlignment="1">
      <alignment horizontal="center" wrapText="1"/>
    </xf>
    <xf numFmtId="200" fontId="4" fillId="0" borderId="10" xfId="24" applyNumberFormat="1" applyFont="1" applyFill="1" applyBorder="1" applyAlignment="1">
      <alignment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3" fontId="4" fillId="0" borderId="10" xfId="24" applyNumberFormat="1" applyFont="1" applyFill="1" applyBorder="1" applyAlignment="1">
      <alignment/>
    </xf>
    <xf numFmtId="0" fontId="5" fillId="0" borderId="0" xfId="0" applyFont="1" applyBorder="1" applyAlignment="1">
      <alignment/>
    </xf>
    <xf numFmtId="202" fontId="8" fillId="0" borderId="0" xfId="24" applyNumberFormat="1" applyFont="1" applyAlignment="1">
      <alignment/>
    </xf>
    <xf numFmtId="202" fontId="5" fillId="2" borderId="7" xfId="24" applyNumberFormat="1" applyFont="1" applyFill="1" applyBorder="1" applyAlignment="1">
      <alignment horizontal="center"/>
    </xf>
    <xf numFmtId="202" fontId="5" fillId="2" borderId="7" xfId="24" applyNumberFormat="1" applyFont="1" applyFill="1" applyBorder="1" applyAlignment="1">
      <alignment horizontal="center"/>
    </xf>
    <xf numFmtId="202" fontId="5" fillId="0" borderId="7" xfId="24" applyNumberFormat="1" applyFont="1" applyFill="1" applyBorder="1" applyAlignment="1">
      <alignment/>
    </xf>
    <xf numFmtId="202" fontId="5" fillId="0" borderId="13" xfId="24" applyNumberFormat="1" applyFont="1" applyFill="1" applyBorder="1" applyAlignment="1">
      <alignment/>
    </xf>
    <xf numFmtId="202" fontId="4" fillId="0" borderId="0" xfId="24" applyNumberFormat="1" applyFont="1" applyAlignment="1">
      <alignment wrapText="1"/>
    </xf>
    <xf numFmtId="0" fontId="4" fillId="0" borderId="9" xfId="0" applyNumberFormat="1" applyFont="1" applyBorder="1" applyAlignment="1">
      <alignment wrapText="1"/>
    </xf>
    <xf numFmtId="0" fontId="4" fillId="5" borderId="10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198" fontId="24" fillId="0" borderId="10" xfId="24" applyNumberFormat="1" applyFont="1" applyFill="1" applyBorder="1" applyAlignment="1">
      <alignment/>
    </xf>
    <xf numFmtId="3" fontId="29" fillId="0" borderId="10" xfId="24" applyNumberFormat="1" applyFont="1" applyFill="1" applyBorder="1" applyAlignment="1">
      <alignment/>
    </xf>
    <xf numFmtId="198" fontId="29" fillId="0" borderId="10" xfId="0" applyNumberFormat="1" applyFont="1" applyFill="1" applyBorder="1" applyAlignment="1">
      <alignment/>
    </xf>
    <xf numFmtId="198" fontId="4" fillId="2" borderId="18" xfId="0" applyNumberFormat="1" applyFont="1" applyFill="1" applyBorder="1" applyAlignment="1">
      <alignment/>
    </xf>
    <xf numFmtId="211" fontId="4" fillId="2" borderId="21" xfId="93" applyNumberFormat="1" applyFont="1" applyFill="1" applyBorder="1" applyAlignment="1">
      <alignment/>
    </xf>
    <xf numFmtId="198" fontId="4" fillId="2" borderId="15" xfId="0" applyNumberFormat="1" applyFont="1" applyFill="1" applyBorder="1" applyAlignment="1">
      <alignment/>
    </xf>
    <xf numFmtId="211" fontId="4" fillId="2" borderId="0" xfId="0" applyNumberFormat="1" applyFont="1" applyFill="1" applyBorder="1" applyAlignment="1">
      <alignment/>
    </xf>
    <xf numFmtId="211" fontId="4" fillId="2" borderId="0" xfId="93" applyNumberFormat="1" applyFont="1" applyFill="1" applyBorder="1" applyAlignment="1">
      <alignment/>
    </xf>
    <xf numFmtId="211" fontId="4" fillId="2" borderId="18" xfId="93" applyNumberFormat="1" applyFont="1" applyFill="1" applyBorder="1" applyAlignment="1">
      <alignment/>
    </xf>
    <xf numFmtId="211" fontId="4" fillId="2" borderId="18" xfId="0" applyNumberFormat="1" applyFont="1" applyFill="1" applyBorder="1" applyAlignment="1">
      <alignment/>
    </xf>
    <xf numFmtId="0" fontId="25" fillId="0" borderId="0" xfId="0" applyFont="1" applyFill="1" applyAlignment="1">
      <alignment wrapText="1"/>
    </xf>
    <xf numFmtId="38" fontId="8" fillId="0" borderId="10" xfId="0" applyNumberFormat="1" applyFont="1" applyFill="1" applyBorder="1" applyAlignment="1">
      <alignment/>
    </xf>
    <xf numFmtId="40" fontId="8" fillId="0" borderId="10" xfId="0" applyNumberFormat="1" applyFont="1" applyFill="1" applyBorder="1" applyAlignment="1">
      <alignment/>
    </xf>
    <xf numFmtId="198" fontId="4" fillId="0" borderId="0" xfId="0" applyNumberFormat="1" applyFont="1" applyAlignment="1">
      <alignment/>
    </xf>
    <xf numFmtId="0" fontId="5" fillId="0" borderId="0" xfId="0" applyFont="1" applyFill="1" applyAlignment="1">
      <alignment horizontal="center"/>
    </xf>
    <xf numFmtId="202" fontId="4" fillId="0" borderId="10" xfId="24" applyNumberFormat="1" applyFont="1" applyFill="1" applyBorder="1" applyAlignment="1">
      <alignment horizontal="center"/>
    </xf>
    <xf numFmtId="198" fontId="4" fillId="0" borderId="10" xfId="24" applyNumberFormat="1" applyFont="1" applyBorder="1" applyAlignment="1">
      <alignment horizontal="center" wrapText="1"/>
    </xf>
    <xf numFmtId="202" fontId="4" fillId="0" borderId="10" xfId="0" applyNumberFormat="1" applyFont="1" applyBorder="1" applyAlignment="1">
      <alignment horizontal="center"/>
    </xf>
    <xf numFmtId="3" fontId="25" fillId="7" borderId="0" xfId="0" applyNumberFormat="1" applyFont="1" applyFill="1" applyAlignment="1">
      <alignment/>
    </xf>
    <xf numFmtId="3" fontId="4" fillId="5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3" fontId="25" fillId="7" borderId="0" xfId="0" applyNumberFormat="1" applyFont="1" applyFill="1" applyAlignment="1">
      <alignment/>
    </xf>
    <xf numFmtId="198" fontId="4" fillId="0" borderId="21" xfId="24" applyNumberFormat="1" applyFont="1" applyBorder="1" applyAlignment="1">
      <alignment/>
    </xf>
    <xf numFmtId="202" fontId="4" fillId="0" borderId="10" xfId="24" applyNumberFormat="1" applyFont="1" applyFill="1" applyBorder="1" applyAlignment="1">
      <alignment horizontal="center" vertical="top" wrapText="1"/>
    </xf>
    <xf numFmtId="205" fontId="4" fillId="2" borderId="10" xfId="24" applyNumberFormat="1" applyFont="1" applyFill="1" applyBorder="1" applyAlignment="1">
      <alignment/>
    </xf>
    <xf numFmtId="49" fontId="4" fillId="0" borderId="9" xfId="0" applyNumberFormat="1" applyFont="1" applyBorder="1" applyAlignment="1">
      <alignment horizontal="left"/>
    </xf>
    <xf numFmtId="205" fontId="4" fillId="2" borderId="13" xfId="24" applyNumberFormat="1" applyFont="1" applyFill="1" applyBorder="1" applyAlignment="1">
      <alignment/>
    </xf>
    <xf numFmtId="49" fontId="4" fillId="0" borderId="7" xfId="0" applyNumberFormat="1" applyFont="1" applyBorder="1" applyAlignment="1">
      <alignment horizontal="center" wrapText="1"/>
    </xf>
    <xf numFmtId="0" fontId="5" fillId="2" borderId="7" xfId="0" applyFont="1" applyFill="1" applyBorder="1" applyAlignment="1">
      <alignment wrapText="1"/>
    </xf>
    <xf numFmtId="9" fontId="4" fillId="2" borderId="13" xfId="0" applyNumberFormat="1" applyFont="1" applyFill="1" applyBorder="1" applyAlignment="1">
      <alignment/>
    </xf>
    <xf numFmtId="205" fontId="4" fillId="2" borderId="10" xfId="0" applyNumberFormat="1" applyFont="1" applyFill="1" applyBorder="1" applyAlignment="1">
      <alignment/>
    </xf>
    <xf numFmtId="201" fontId="4" fillId="2" borderId="9" xfId="0" applyNumberFormat="1" applyFont="1" applyFill="1" applyBorder="1" applyAlignment="1">
      <alignment/>
    </xf>
    <xf numFmtId="205" fontId="4" fillId="2" borderId="9" xfId="24" applyNumberFormat="1" applyFont="1" applyFill="1" applyBorder="1" applyAlignment="1">
      <alignment/>
    </xf>
    <xf numFmtId="205" fontId="4" fillId="2" borderId="9" xfId="0" applyNumberFormat="1" applyFont="1" applyFill="1" applyBorder="1" applyAlignment="1">
      <alignment/>
    </xf>
    <xf numFmtId="49" fontId="4" fillId="2" borderId="17" xfId="0" applyNumberFormat="1" applyFont="1" applyFill="1" applyBorder="1" applyAlignment="1">
      <alignment wrapText="1"/>
    </xf>
    <xf numFmtId="205" fontId="4" fillId="2" borderId="19" xfId="24" applyNumberFormat="1" applyFont="1" applyFill="1" applyBorder="1" applyAlignment="1">
      <alignment/>
    </xf>
    <xf numFmtId="201" fontId="4" fillId="2" borderId="19" xfId="0" applyNumberFormat="1" applyFont="1" applyFill="1" applyBorder="1" applyAlignment="1">
      <alignment/>
    </xf>
    <xf numFmtId="49" fontId="4" fillId="2" borderId="18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38" fontId="8" fillId="2" borderId="19" xfId="0" applyNumberFormat="1" applyFont="1" applyFill="1" applyBorder="1" applyAlignment="1">
      <alignment/>
    </xf>
    <xf numFmtId="38" fontId="7" fillId="2" borderId="21" xfId="0" applyNumberFormat="1" applyFont="1" applyFill="1" applyBorder="1" applyAlignment="1">
      <alignment/>
    </xf>
    <xf numFmtId="200" fontId="8" fillId="2" borderId="7" xfId="24" applyFont="1" applyFill="1" applyBorder="1" applyAlignment="1">
      <alignment/>
    </xf>
    <xf numFmtId="38" fontId="8" fillId="0" borderId="10" xfId="0" applyNumberFormat="1" applyFont="1" applyFill="1" applyBorder="1" applyAlignment="1">
      <alignment/>
    </xf>
    <xf numFmtId="202" fontId="7" fillId="0" borderId="7" xfId="24" applyNumberFormat="1" applyFont="1" applyFill="1" applyBorder="1" applyAlignment="1">
      <alignment/>
    </xf>
    <xf numFmtId="200" fontId="7" fillId="0" borderId="5" xfId="24" applyFont="1" applyFill="1" applyBorder="1" applyAlignment="1">
      <alignment/>
    </xf>
    <xf numFmtId="202" fontId="8" fillId="0" borderId="0" xfId="24" applyNumberFormat="1" applyFont="1" applyFill="1" applyBorder="1" applyAlignment="1">
      <alignment/>
    </xf>
    <xf numFmtId="38" fontId="8" fillId="0" borderId="10" xfId="24" applyNumberFormat="1" applyFont="1" applyFill="1" applyBorder="1" applyAlignment="1">
      <alignment/>
    </xf>
    <xf numFmtId="200" fontId="7" fillId="0" borderId="7" xfId="24" applyFont="1" applyBorder="1" applyAlignment="1">
      <alignment/>
    </xf>
    <xf numFmtId="200" fontId="8" fillId="0" borderId="10" xfId="0" applyNumberFormat="1" applyFont="1" applyBorder="1" applyAlignment="1">
      <alignment/>
    </xf>
    <xf numFmtId="200" fontId="8" fillId="0" borderId="10" xfId="24" applyFont="1" applyBorder="1" applyAlignment="1">
      <alignment horizontal="center"/>
    </xf>
    <xf numFmtId="200" fontId="8" fillId="0" borderId="10" xfId="24" applyFont="1" applyBorder="1" applyAlignment="1">
      <alignment horizontal="center" wrapText="1"/>
    </xf>
    <xf numFmtId="200" fontId="7" fillId="2" borderId="7" xfId="24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200" fontId="8" fillId="0" borderId="0" xfId="24" applyFont="1" applyBorder="1" applyAlignment="1">
      <alignment horizontal="center"/>
    </xf>
    <xf numFmtId="198" fontId="25" fillId="2" borderId="7" xfId="0" applyNumberFormat="1" applyFont="1" applyFill="1" applyBorder="1" applyAlignment="1">
      <alignment/>
    </xf>
    <xf numFmtId="211" fontId="25" fillId="2" borderId="13" xfId="93" applyNumberFormat="1" applyFont="1" applyFill="1" applyBorder="1" applyAlignment="1">
      <alignment/>
    </xf>
    <xf numFmtId="211" fontId="26" fillId="2" borderId="13" xfId="93" applyNumberFormat="1" applyFont="1" applyFill="1" applyBorder="1" applyAlignment="1">
      <alignment/>
    </xf>
    <xf numFmtId="198" fontId="26" fillId="2" borderId="13" xfId="0" applyNumberFormat="1" applyFont="1" applyFill="1" applyBorder="1" applyAlignment="1">
      <alignment/>
    </xf>
    <xf numFmtId="198" fontId="25" fillId="2" borderId="21" xfId="0" applyNumberFormat="1" applyFont="1" applyFill="1" applyBorder="1" applyAlignment="1">
      <alignment/>
    </xf>
    <xf numFmtId="211" fontId="25" fillId="2" borderId="21" xfId="93" applyNumberFormat="1" applyFont="1" applyFill="1" applyBorder="1" applyAlignment="1">
      <alignment/>
    </xf>
    <xf numFmtId="211" fontId="25" fillId="2" borderId="18" xfId="93" applyNumberFormat="1" applyFont="1" applyFill="1" applyBorder="1" applyAlignment="1">
      <alignment/>
    </xf>
    <xf numFmtId="198" fontId="25" fillId="2" borderId="13" xfId="0" applyNumberFormat="1" applyFont="1" applyFill="1" applyBorder="1" applyAlignment="1">
      <alignment/>
    </xf>
    <xf numFmtId="211" fontId="25" fillId="2" borderId="7" xfId="93" applyNumberFormat="1" applyFont="1" applyFill="1" applyBorder="1" applyAlignment="1">
      <alignment/>
    </xf>
    <xf numFmtId="198" fontId="25" fillId="2" borderId="14" xfId="0" applyNumberFormat="1" applyFont="1" applyFill="1" applyBorder="1" applyAlignment="1">
      <alignment/>
    </xf>
    <xf numFmtId="211" fontId="25" fillId="2" borderId="15" xfId="93" applyNumberFormat="1" applyFont="1" applyFill="1" applyBorder="1" applyAlignment="1">
      <alignment/>
    </xf>
    <xf numFmtId="202" fontId="8" fillId="0" borderId="18" xfId="24" applyNumberFormat="1" applyFont="1" applyBorder="1" applyAlignment="1">
      <alignment/>
    </xf>
    <xf numFmtId="40" fontId="7" fillId="2" borderId="13" xfId="0" applyNumberFormat="1" applyFont="1" applyFill="1" applyBorder="1" applyAlignment="1">
      <alignment/>
    </xf>
    <xf numFmtId="198" fontId="7" fillId="0" borderId="10" xfId="0" applyNumberFormat="1" applyFont="1" applyFill="1" applyBorder="1" applyAlignment="1">
      <alignment horizontal="right" wrapText="1"/>
    </xf>
    <xf numFmtId="0" fontId="8" fillId="0" borderId="0" xfId="0" applyFont="1" applyAlignment="1">
      <alignment wrapText="1"/>
    </xf>
    <xf numFmtId="198" fontId="8" fillId="0" borderId="10" xfId="24" applyNumberFormat="1" applyFont="1" applyBorder="1" applyAlignment="1">
      <alignment/>
    </xf>
    <xf numFmtId="198" fontId="7" fillId="0" borderId="7" xfId="0" applyNumberFormat="1" applyFont="1" applyFill="1" applyBorder="1" applyAlignment="1">
      <alignment/>
    </xf>
    <xf numFmtId="198" fontId="8" fillId="0" borderId="10" xfId="0" applyNumberFormat="1" applyFont="1" applyFill="1" applyBorder="1" applyAlignment="1">
      <alignment horizontal="right" wrapText="1"/>
    </xf>
    <xf numFmtId="200" fontId="8" fillId="0" borderId="9" xfId="24" applyFont="1" applyBorder="1" applyAlignment="1">
      <alignment horizontal="right" wrapText="1"/>
    </xf>
    <xf numFmtId="198" fontId="7" fillId="0" borderId="10" xfId="0" applyNumberFormat="1" applyFont="1" applyFill="1" applyBorder="1" applyAlignment="1">
      <alignment horizontal="right" wrapText="1"/>
    </xf>
    <xf numFmtId="198" fontId="8" fillId="0" borderId="10" xfId="0" applyNumberFormat="1" applyFont="1" applyBorder="1" applyAlignment="1">
      <alignment horizontal="right" wrapText="1"/>
    </xf>
    <xf numFmtId="198" fontId="7" fillId="0" borderId="13" xfId="0" applyNumberFormat="1" applyFont="1" applyFill="1" applyBorder="1" applyAlignment="1">
      <alignment/>
    </xf>
    <xf numFmtId="198" fontId="7" fillId="2" borderId="7" xfId="0" applyNumberFormat="1" applyFont="1" applyFill="1" applyBorder="1" applyAlignment="1">
      <alignment/>
    </xf>
    <xf numFmtId="40" fontId="8" fillId="0" borderId="10" xfId="0" applyNumberFormat="1" applyFont="1" applyBorder="1" applyAlignment="1">
      <alignment horizontal="right" wrapText="1"/>
    </xf>
    <xf numFmtId="40" fontId="8" fillId="0" borderId="10" xfId="0" applyNumberFormat="1" applyFont="1" applyFill="1" applyBorder="1" applyAlignment="1">
      <alignment horizontal="right" wrapText="1"/>
    </xf>
    <xf numFmtId="40" fontId="7" fillId="0" borderId="7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right" wrapText="1"/>
    </xf>
    <xf numFmtId="40" fontId="7" fillId="0" borderId="10" xfId="0" applyNumberFormat="1" applyFont="1" applyFill="1" applyBorder="1" applyAlignment="1">
      <alignment horizontal="right" wrapText="1"/>
    </xf>
    <xf numFmtId="49" fontId="8" fillId="0" borderId="10" xfId="0" applyNumberFormat="1" applyFont="1" applyBorder="1" applyAlignment="1">
      <alignment horizontal="right" wrapText="1"/>
    </xf>
    <xf numFmtId="40" fontId="7" fillId="0" borderId="13" xfId="0" applyNumberFormat="1" applyFont="1" applyFill="1" applyBorder="1" applyAlignment="1">
      <alignment/>
    </xf>
    <xf numFmtId="40" fontId="7" fillId="2" borderId="7" xfId="0" applyNumberFormat="1" applyFont="1" applyFill="1" applyBorder="1" applyAlignment="1">
      <alignment/>
    </xf>
    <xf numFmtId="0" fontId="8" fillId="0" borderId="0" xfId="0" applyFont="1" applyAlignment="1">
      <alignment wrapText="1"/>
    </xf>
    <xf numFmtId="207" fontId="4" fillId="2" borderId="11" xfId="0" applyNumberFormat="1" applyFont="1" applyFill="1" applyBorder="1" applyAlignment="1">
      <alignment/>
    </xf>
    <xf numFmtId="9" fontId="4" fillId="2" borderId="16" xfId="93" applyFont="1" applyFill="1" applyBorder="1" applyAlignment="1">
      <alignment/>
    </xf>
    <xf numFmtId="211" fontId="4" fillId="2" borderId="7" xfId="93" applyNumberFormat="1" applyFont="1" applyFill="1" applyBorder="1" applyAlignment="1">
      <alignment/>
    </xf>
    <xf numFmtId="200" fontId="8" fillId="0" borderId="12" xfId="24" applyFont="1" applyFill="1" applyBorder="1" applyAlignment="1">
      <alignment/>
    </xf>
    <xf numFmtId="200" fontId="8" fillId="0" borderId="0" xfId="24" applyFont="1" applyFill="1" applyBorder="1" applyAlignment="1">
      <alignment/>
    </xf>
    <xf numFmtId="9" fontId="4" fillId="2" borderId="9" xfId="93" applyFont="1" applyFill="1" applyBorder="1" applyAlignment="1">
      <alignment/>
    </xf>
    <xf numFmtId="202" fontId="4" fillId="2" borderId="18" xfId="24" applyNumberFormat="1" applyFont="1" applyFill="1" applyBorder="1" applyAlignment="1">
      <alignment/>
    </xf>
    <xf numFmtId="211" fontId="4" fillId="2" borderId="18" xfId="93" applyNumberFormat="1" applyFont="1" applyFill="1" applyBorder="1" applyAlignment="1">
      <alignment/>
    </xf>
    <xf numFmtId="9" fontId="4" fillId="2" borderId="18" xfId="93" applyFont="1" applyFill="1" applyBorder="1" applyAlignment="1">
      <alignment/>
    </xf>
    <xf numFmtId="9" fontId="4" fillId="2" borderId="7" xfId="93" applyFont="1" applyFill="1" applyBorder="1" applyAlignment="1">
      <alignment/>
    </xf>
    <xf numFmtId="211" fontId="4" fillId="2" borderId="15" xfId="93" applyNumberFormat="1" applyFont="1" applyFill="1" applyBorder="1" applyAlignment="1">
      <alignment/>
    </xf>
    <xf numFmtId="9" fontId="4" fillId="2" borderId="15" xfId="93" applyFont="1" applyFill="1" applyBorder="1" applyAlignment="1">
      <alignment/>
    </xf>
    <xf numFmtId="211" fontId="5" fillId="2" borderId="15" xfId="93" applyNumberFormat="1" applyFont="1" applyFill="1" applyBorder="1" applyAlignment="1">
      <alignment/>
    </xf>
    <xf numFmtId="9" fontId="5" fillId="2" borderId="15" xfId="93" applyFont="1" applyFill="1" applyBorder="1" applyAlignment="1">
      <alignment/>
    </xf>
    <xf numFmtId="211" fontId="4" fillId="2" borderId="11" xfId="93" applyNumberFormat="1" applyFont="1" applyFill="1" applyBorder="1" applyAlignment="1">
      <alignment/>
    </xf>
    <xf numFmtId="9" fontId="4" fillId="2" borderId="11" xfId="93" applyFont="1" applyFill="1" applyBorder="1" applyAlignment="1">
      <alignment/>
    </xf>
    <xf numFmtId="9" fontId="5" fillId="2" borderId="7" xfId="93" applyFont="1" applyFill="1" applyBorder="1" applyAlignment="1">
      <alignment/>
    </xf>
    <xf numFmtId="38" fontId="5" fillId="2" borderId="10" xfId="0" applyNumberFormat="1" applyFont="1" applyFill="1" applyBorder="1" applyAlignment="1">
      <alignment horizontal="center"/>
    </xf>
    <xf numFmtId="9" fontId="5" fillId="2" borderId="10" xfId="0" applyNumberFormat="1" applyFont="1" applyFill="1" applyBorder="1" applyAlignment="1">
      <alignment horizontal="center"/>
    </xf>
    <xf numFmtId="9" fontId="4" fillId="2" borderId="10" xfId="0" applyNumberFormat="1" applyFont="1" applyFill="1" applyBorder="1" applyAlignment="1">
      <alignment/>
    </xf>
    <xf numFmtId="40" fontId="4" fillId="0" borderId="9" xfId="0" applyNumberFormat="1" applyFont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198" fontId="26" fillId="0" borderId="0" xfId="24" applyNumberFormat="1" applyFont="1" applyFill="1" applyBorder="1" applyAlignment="1">
      <alignment/>
    </xf>
    <xf numFmtId="198" fontId="5" fillId="0" borderId="0" xfId="24" applyNumberFormat="1" applyFont="1" applyFill="1" applyBorder="1" applyAlignment="1">
      <alignment/>
    </xf>
    <xf numFmtId="198" fontId="5" fillId="0" borderId="0" xfId="0" applyNumberFormat="1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17" xfId="0" applyFont="1" applyFill="1" applyBorder="1" applyAlignment="1">
      <alignment horizontal="center"/>
    </xf>
    <xf numFmtId="15" fontId="7" fillId="2" borderId="18" xfId="0" applyNumberFormat="1" applyFont="1" applyFill="1" applyBorder="1" applyAlignment="1">
      <alignment horizontal="center"/>
    </xf>
    <xf numFmtId="15" fontId="7" fillId="2" borderId="18" xfId="0" applyNumberFormat="1" applyFont="1" applyFill="1" applyBorder="1" applyAlignment="1">
      <alignment horizontal="center"/>
    </xf>
    <xf numFmtId="198" fontId="4" fillId="0" borderId="18" xfId="24" applyNumberFormat="1" applyFont="1" applyFill="1" applyBorder="1" applyAlignment="1">
      <alignment horizontal="right" wrapText="1"/>
    </xf>
    <xf numFmtId="198" fontId="5" fillId="0" borderId="9" xfId="24" applyNumberFormat="1" applyFont="1" applyFill="1" applyBorder="1" applyAlignment="1">
      <alignment horizontal="right" wrapText="1"/>
    </xf>
    <xf numFmtId="202" fontId="7" fillId="0" borderId="17" xfId="24" applyNumberFormat="1" applyFont="1" applyFill="1" applyBorder="1" applyAlignment="1">
      <alignment horizontal="right" wrapText="1"/>
    </xf>
    <xf numFmtId="202" fontId="8" fillId="0" borderId="9" xfId="24" applyNumberFormat="1" applyFont="1" applyFill="1" applyBorder="1" applyAlignment="1">
      <alignment horizontal="right" wrapText="1"/>
    </xf>
    <xf numFmtId="202" fontId="7" fillId="0" borderId="17" xfId="24" applyNumberFormat="1" applyFont="1" applyBorder="1" applyAlignment="1">
      <alignment horizontal="right" wrapText="1"/>
    </xf>
    <xf numFmtId="202" fontId="4" fillId="0" borderId="20" xfId="24" applyNumberFormat="1" applyFont="1" applyFill="1" applyBorder="1" applyAlignment="1">
      <alignment/>
    </xf>
    <xf numFmtId="202" fontId="4" fillId="0" borderId="12" xfId="24" applyNumberFormat="1" applyFont="1" applyFill="1" applyBorder="1" applyAlignment="1">
      <alignment/>
    </xf>
    <xf numFmtId="198" fontId="4" fillId="0" borderId="0" xfId="24" applyNumberFormat="1" applyFont="1" applyBorder="1" applyAlignment="1">
      <alignment/>
    </xf>
    <xf numFmtId="202" fontId="4" fillId="0" borderId="12" xfId="24" applyNumberFormat="1" applyFont="1" applyFill="1" applyBorder="1" applyAlignment="1">
      <alignment horizontal="right"/>
    </xf>
    <xf numFmtId="202" fontId="7" fillId="0" borderId="9" xfId="24" applyNumberFormat="1" applyFont="1" applyFill="1" applyBorder="1" applyAlignment="1">
      <alignment/>
    </xf>
    <xf numFmtId="0" fontId="26" fillId="2" borderId="17" xfId="0" applyFont="1" applyFill="1" applyBorder="1" applyAlignment="1">
      <alignment horizontal="center"/>
    </xf>
    <xf numFmtId="15" fontId="26" fillId="2" borderId="18" xfId="0" applyNumberFormat="1" applyFont="1" applyFill="1" applyBorder="1" applyAlignment="1">
      <alignment horizontal="center"/>
    </xf>
    <xf numFmtId="202" fontId="4" fillId="0" borderId="9" xfId="24" applyNumberFormat="1" applyFont="1" applyBorder="1" applyAlignment="1">
      <alignment horizontal="right"/>
    </xf>
    <xf numFmtId="202" fontId="15" fillId="2" borderId="7" xfId="24" applyNumberFormat="1" applyFont="1" applyFill="1" applyBorder="1" applyAlignment="1">
      <alignment/>
    </xf>
    <xf numFmtId="0" fontId="4" fillId="2" borderId="10" xfId="93" applyNumberFormat="1" applyFont="1" applyFill="1" applyBorder="1" applyAlignment="1">
      <alignment/>
    </xf>
    <xf numFmtId="0" fontId="26" fillId="6" borderId="20" xfId="0" applyFont="1" applyFill="1" applyBorder="1" applyAlignment="1">
      <alignment horizontal="center"/>
    </xf>
    <xf numFmtId="15" fontId="26" fillId="6" borderId="9" xfId="0" applyNumberFormat="1" applyFont="1" applyFill="1" applyBorder="1" applyAlignment="1">
      <alignment horizontal="center"/>
    </xf>
    <xf numFmtId="0" fontId="26" fillId="6" borderId="18" xfId="0" applyFont="1" applyFill="1" applyBorder="1" applyAlignment="1">
      <alignment horizontal="center"/>
    </xf>
    <xf numFmtId="3" fontId="26" fillId="6" borderId="7" xfId="0" applyNumberFormat="1" applyFont="1" applyFill="1" applyBorder="1" applyAlignment="1">
      <alignment horizontal="center"/>
    </xf>
    <xf numFmtId="0" fontId="26" fillId="6" borderId="18" xfId="0" applyFont="1" applyFill="1" applyBorder="1" applyAlignment="1">
      <alignment horizontal="center"/>
    </xf>
    <xf numFmtId="3" fontId="26" fillId="6" borderId="7" xfId="0" applyNumberFormat="1" applyFont="1" applyFill="1" applyBorder="1" applyAlignment="1">
      <alignment horizontal="center"/>
    </xf>
    <xf numFmtId="200" fontId="4" fillId="0" borderId="10" xfId="0" applyNumberFormat="1" applyFont="1" applyFill="1" applyBorder="1" applyAlignment="1">
      <alignment/>
    </xf>
    <xf numFmtId="202" fontId="4" fillId="0" borderId="7" xfId="0" applyNumberFormat="1" applyFont="1" applyFill="1" applyBorder="1" applyAlignment="1">
      <alignment/>
    </xf>
    <xf numFmtId="200" fontId="4" fillId="0" borderId="10" xfId="0" applyNumberFormat="1" applyFont="1" applyFill="1" applyBorder="1" applyAlignment="1">
      <alignment/>
    </xf>
    <xf numFmtId="0" fontId="5" fillId="6" borderId="18" xfId="0" applyFont="1" applyFill="1" applyBorder="1" applyAlignment="1">
      <alignment horizontal="center"/>
    </xf>
    <xf numFmtId="3" fontId="5" fillId="6" borderId="7" xfId="0" applyNumberFormat="1" applyFont="1" applyFill="1" applyBorder="1" applyAlignment="1">
      <alignment horizontal="center"/>
    </xf>
    <xf numFmtId="202" fontId="6" fillId="0" borderId="15" xfId="24" applyNumberFormat="1" applyFont="1" applyFill="1" applyBorder="1" applyAlignment="1">
      <alignment/>
    </xf>
    <xf numFmtId="15" fontId="26" fillId="6" borderId="23" xfId="0" applyNumberFormat="1" applyFont="1" applyFill="1" applyBorder="1" applyAlignment="1">
      <alignment horizontal="center"/>
    </xf>
    <xf numFmtId="0" fontId="26" fillId="6" borderId="7" xfId="0" applyFont="1" applyFill="1" applyBorder="1" applyAlignment="1">
      <alignment horizontal="center"/>
    </xf>
    <xf numFmtId="0" fontId="26" fillId="6" borderId="20" xfId="0" applyFont="1" applyFill="1" applyBorder="1" applyAlignment="1">
      <alignment horizontal="center"/>
    </xf>
    <xf numFmtId="0" fontId="26" fillId="6" borderId="7" xfId="0" applyFont="1" applyFill="1" applyBorder="1" applyAlignment="1">
      <alignment horizontal="center"/>
    </xf>
    <xf numFmtId="0" fontId="26" fillId="6" borderId="17" xfId="0" applyFont="1" applyFill="1" applyBorder="1" applyAlignment="1">
      <alignment horizontal="center"/>
    </xf>
    <xf numFmtId="15" fontId="26" fillId="6" borderId="18" xfId="0" applyNumberFormat="1" applyFont="1" applyFill="1" applyBorder="1" applyAlignment="1">
      <alignment horizontal="center"/>
    </xf>
    <xf numFmtId="202" fontId="4" fillId="0" borderId="11" xfId="24" applyNumberFormat="1" applyFont="1" applyFill="1" applyBorder="1" applyAlignment="1">
      <alignment/>
    </xf>
    <xf numFmtId="198" fontId="22" fillId="0" borderId="10" xfId="24" applyNumberFormat="1" applyFont="1" applyFill="1" applyBorder="1" applyAlignment="1">
      <alignment/>
    </xf>
    <xf numFmtId="198" fontId="30" fillId="0" borderId="10" xfId="24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49" fontId="4" fillId="0" borderId="17" xfId="0" applyNumberFormat="1" applyFont="1" applyBorder="1" applyAlignment="1">
      <alignment horizontal="right"/>
    </xf>
    <xf numFmtId="198" fontId="4" fillId="0" borderId="17" xfId="0" applyNumberFormat="1" applyFont="1" applyBorder="1" applyAlignment="1">
      <alignment horizontal="right"/>
    </xf>
    <xf numFmtId="198" fontId="4" fillId="0" borderId="18" xfId="0" applyNumberFormat="1" applyFont="1" applyFill="1" applyBorder="1" applyAlignment="1">
      <alignment horizontal="right"/>
    </xf>
    <xf numFmtId="198" fontId="4" fillId="0" borderId="9" xfId="0" applyNumberFormat="1" applyFont="1" applyFill="1" applyBorder="1" applyAlignment="1">
      <alignment horizontal="right"/>
    </xf>
    <xf numFmtId="0" fontId="4" fillId="7" borderId="9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28" fillId="0" borderId="10" xfId="62" applyNumberFormat="1" applyFont="1" applyFill="1" applyBorder="1" applyAlignment="1">
      <alignment horizontal="center"/>
    </xf>
    <xf numFmtId="14" fontId="5" fillId="2" borderId="23" xfId="0" applyNumberFormat="1" applyFont="1" applyFill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198" fontId="7" fillId="0" borderId="7" xfId="24" applyNumberFormat="1" applyFont="1" applyFill="1" applyBorder="1" applyAlignment="1">
      <alignment/>
    </xf>
    <xf numFmtId="198" fontId="7" fillId="0" borderId="13" xfId="24" applyNumberFormat="1" applyFont="1" applyFill="1" applyBorder="1" applyAlignment="1">
      <alignment/>
    </xf>
    <xf numFmtId="198" fontId="7" fillId="2" borderId="7" xfId="24" applyNumberFormat="1" applyFont="1" applyFill="1" applyBorder="1" applyAlignment="1">
      <alignment/>
    </xf>
    <xf numFmtId="211" fontId="31" fillId="2" borderId="0" xfId="0" applyNumberFormat="1" applyFont="1" applyFill="1" applyBorder="1" applyAlignment="1">
      <alignment/>
    </xf>
    <xf numFmtId="38" fontId="4" fillId="2" borderId="10" xfId="0" applyNumberFormat="1" applyFont="1" applyFill="1" applyBorder="1" applyAlignment="1">
      <alignment/>
    </xf>
    <xf numFmtId="0" fontId="17" fillId="0" borderId="26" xfId="0" applyFont="1" applyFill="1" applyBorder="1" applyAlignment="1">
      <alignment horizontal="center"/>
    </xf>
    <xf numFmtId="198" fontId="17" fillId="0" borderId="10" xfId="24" applyNumberFormat="1" applyFont="1" applyBorder="1" applyAlignment="1">
      <alignment horizontal="center" wrapText="1"/>
    </xf>
    <xf numFmtId="202" fontId="4" fillId="0" borderId="0" xfId="24" applyNumberFormat="1" applyFont="1" applyBorder="1" applyAlignment="1">
      <alignment/>
    </xf>
    <xf numFmtId="198" fontId="17" fillId="0" borderId="10" xfId="0" applyNumberFormat="1" applyFont="1" applyBorder="1" applyAlignment="1">
      <alignment horizontal="center" wrapText="1"/>
    </xf>
    <xf numFmtId="15" fontId="26" fillId="6" borderId="20" xfId="0" applyNumberFormat="1" applyFont="1" applyFill="1" applyBorder="1" applyAlignment="1">
      <alignment horizontal="center"/>
    </xf>
    <xf numFmtId="15" fontId="26" fillId="6" borderId="20" xfId="0" applyNumberFormat="1" applyFont="1" applyFill="1" applyBorder="1" applyAlignment="1">
      <alignment horizontal="center"/>
    </xf>
    <xf numFmtId="200" fontId="22" fillId="0" borderId="10" xfId="24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200" fontId="23" fillId="0" borderId="0" xfId="24" applyFont="1" applyAlignment="1">
      <alignment horizontal="center"/>
    </xf>
    <xf numFmtId="200" fontId="7" fillId="0" borderId="0" xfId="24" applyFont="1" applyAlignment="1">
      <alignment/>
    </xf>
    <xf numFmtId="198" fontId="5" fillId="0" borderId="0" xfId="0" applyNumberFormat="1" applyFont="1" applyAlignment="1">
      <alignment horizontal="center"/>
    </xf>
    <xf numFmtId="200" fontId="25" fillId="0" borderId="10" xfId="24" applyFont="1" applyBorder="1" applyAlignment="1">
      <alignment horizontal="right" wrapText="1"/>
    </xf>
    <xf numFmtId="2" fontId="8" fillId="0" borderId="10" xfId="0" applyNumberFormat="1" applyFont="1" applyFill="1" applyBorder="1" applyAlignment="1">
      <alignment horizontal="right" wrapText="1"/>
    </xf>
    <xf numFmtId="202" fontId="5" fillId="0" borderId="9" xfId="24" applyNumberFormat="1" applyFont="1" applyFill="1" applyBorder="1" applyAlignment="1">
      <alignment/>
    </xf>
    <xf numFmtId="202" fontId="5" fillId="0" borderId="9" xfId="24" applyNumberFormat="1" applyFont="1" applyBorder="1" applyAlignment="1">
      <alignment horizontal="right"/>
    </xf>
    <xf numFmtId="9" fontId="4" fillId="0" borderId="10" xfId="93" applyFont="1" applyFill="1" applyBorder="1" applyAlignment="1">
      <alignment/>
    </xf>
    <xf numFmtId="41" fontId="8" fillId="0" borderId="10" xfId="93" applyNumberFormat="1" applyFont="1" applyFill="1" applyBorder="1" applyAlignment="1">
      <alignment/>
    </xf>
    <xf numFmtId="200" fontId="66" fillId="6" borderId="20" xfId="24" applyFont="1" applyFill="1" applyBorder="1" applyAlignment="1">
      <alignment horizontal="center"/>
    </xf>
    <xf numFmtId="15" fontId="66" fillId="6" borderId="12" xfId="0" applyNumberFormat="1" applyFont="1" applyFill="1" applyBorder="1" applyAlignment="1">
      <alignment horizontal="center"/>
    </xf>
    <xf numFmtId="200" fontId="66" fillId="6" borderId="18" xfId="24" applyFont="1" applyFill="1" applyBorder="1" applyAlignment="1">
      <alignment horizontal="center"/>
    </xf>
    <xf numFmtId="200" fontId="66" fillId="6" borderId="7" xfId="24" applyFont="1" applyFill="1" applyBorder="1" applyAlignment="1">
      <alignment horizontal="center"/>
    </xf>
    <xf numFmtId="0" fontId="4" fillId="0" borderId="10" xfId="0" applyNumberFormat="1" applyFont="1" applyBorder="1" applyAlignment="1">
      <alignment wrapText="1"/>
    </xf>
    <xf numFmtId="0" fontId="4" fillId="0" borderId="9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left" wrapText="1"/>
    </xf>
    <xf numFmtId="202" fontId="67" fillId="0" borderId="10" xfId="24" applyNumberFormat="1" applyFont="1" applyFill="1" applyBorder="1" applyAlignment="1">
      <alignment/>
    </xf>
    <xf numFmtId="49" fontId="67" fillId="0" borderId="10" xfId="0" applyNumberFormat="1" applyFont="1" applyBorder="1" applyAlignment="1">
      <alignment horizontal="right"/>
    </xf>
    <xf numFmtId="202" fontId="67" fillId="0" borderId="10" xfId="24" applyNumberFormat="1" applyFont="1" applyBorder="1" applyAlignment="1">
      <alignment/>
    </xf>
    <xf numFmtId="200" fontId="67" fillId="0" borderId="10" xfId="24" applyFont="1" applyFill="1" applyBorder="1" applyAlignment="1">
      <alignment/>
    </xf>
    <xf numFmtId="40" fontId="67" fillId="0" borderId="10" xfId="0" applyNumberFormat="1" applyFont="1" applyFill="1" applyBorder="1" applyAlignment="1">
      <alignment horizontal="right"/>
    </xf>
    <xf numFmtId="40" fontId="67" fillId="0" borderId="10" xfId="0" applyNumberFormat="1" applyFont="1" applyFill="1" applyBorder="1" applyAlignment="1">
      <alignment horizontal="center"/>
    </xf>
    <xf numFmtId="202" fontId="66" fillId="0" borderId="5" xfId="24" applyNumberFormat="1" applyFont="1" applyFill="1" applyBorder="1" applyAlignment="1">
      <alignment/>
    </xf>
    <xf numFmtId="40" fontId="67" fillId="0" borderId="7" xfId="0" applyNumberFormat="1" applyFont="1" applyFill="1" applyBorder="1" applyAlignment="1">
      <alignment horizontal="center"/>
    </xf>
    <xf numFmtId="202" fontId="67" fillId="0" borderId="5" xfId="24" applyNumberFormat="1" applyFont="1" applyFill="1" applyBorder="1" applyAlignment="1">
      <alignment/>
    </xf>
    <xf numFmtId="200" fontId="66" fillId="0" borderId="5" xfId="24" applyFont="1" applyFill="1" applyBorder="1" applyAlignment="1">
      <alignment/>
    </xf>
    <xf numFmtId="40" fontId="66" fillId="0" borderId="10" xfId="0" applyNumberFormat="1" applyFont="1" applyFill="1" applyBorder="1" applyAlignment="1">
      <alignment horizontal="center"/>
    </xf>
    <xf numFmtId="40" fontId="67" fillId="0" borderId="10" xfId="0" applyNumberFormat="1" applyFont="1" applyBorder="1" applyAlignment="1">
      <alignment horizontal="right"/>
    </xf>
    <xf numFmtId="200" fontId="67" fillId="0" borderId="10" xfId="24" applyFont="1" applyBorder="1" applyAlignment="1">
      <alignment/>
    </xf>
    <xf numFmtId="202" fontId="66" fillId="0" borderId="5" xfId="24" applyNumberFormat="1" applyFont="1" applyBorder="1" applyAlignment="1">
      <alignment/>
    </xf>
    <xf numFmtId="40" fontId="67" fillId="0" borderId="7" xfId="0" applyNumberFormat="1" applyFont="1" applyBorder="1" applyAlignment="1">
      <alignment horizontal="right"/>
    </xf>
    <xf numFmtId="202" fontId="67" fillId="0" borderId="5" xfId="24" applyNumberFormat="1" applyFont="1" applyBorder="1" applyAlignment="1">
      <alignment/>
    </xf>
    <xf numFmtId="200" fontId="66" fillId="0" borderId="5" xfId="24" applyFont="1" applyBorder="1" applyAlignment="1">
      <alignment/>
    </xf>
    <xf numFmtId="202" fontId="66" fillId="2" borderId="7" xfId="24" applyNumberFormat="1" applyFont="1" applyFill="1" applyBorder="1" applyAlignment="1">
      <alignment/>
    </xf>
    <xf numFmtId="40" fontId="67" fillId="2" borderId="7" xfId="0" applyNumberFormat="1" applyFont="1" applyFill="1" applyBorder="1" applyAlignment="1">
      <alignment horizontal="right"/>
    </xf>
    <xf numFmtId="202" fontId="67" fillId="2" borderId="7" xfId="24" applyNumberFormat="1" applyFont="1" applyFill="1" applyBorder="1" applyAlignment="1">
      <alignment/>
    </xf>
    <xf numFmtId="200" fontId="66" fillId="2" borderId="7" xfId="24" applyFont="1" applyFill="1" applyBorder="1" applyAlignment="1">
      <alignment/>
    </xf>
    <xf numFmtId="200" fontId="67" fillId="0" borderId="0" xfId="24" applyFont="1" applyAlignment="1">
      <alignment/>
    </xf>
    <xf numFmtId="3" fontId="67" fillId="0" borderId="0" xfId="0" applyNumberFormat="1" applyFont="1" applyAlignment="1">
      <alignment/>
    </xf>
    <xf numFmtId="200" fontId="66" fillId="2" borderId="20" xfId="24" applyFont="1" applyFill="1" applyBorder="1" applyAlignment="1">
      <alignment horizontal="center"/>
    </xf>
    <xf numFmtId="15" fontId="66" fillId="2" borderId="9" xfId="24" applyNumberFormat="1" applyFont="1" applyFill="1" applyBorder="1" applyAlignment="1">
      <alignment horizontal="center"/>
    </xf>
    <xf numFmtId="200" fontId="66" fillId="2" borderId="18" xfId="24" applyFont="1" applyFill="1" applyBorder="1" applyAlignment="1">
      <alignment horizontal="center"/>
    </xf>
    <xf numFmtId="3" fontId="66" fillId="2" borderId="17" xfId="0" applyNumberFormat="1" applyFont="1" applyFill="1" applyBorder="1" applyAlignment="1">
      <alignment horizontal="center"/>
    </xf>
    <xf numFmtId="3" fontId="66" fillId="2" borderId="7" xfId="0" applyNumberFormat="1" applyFont="1" applyFill="1" applyBorder="1" applyAlignment="1">
      <alignment horizontal="center"/>
    </xf>
    <xf numFmtId="3" fontId="66" fillId="2" borderId="13" xfId="0" applyNumberFormat="1" applyFont="1" applyFill="1" applyBorder="1" applyAlignment="1">
      <alignment horizontal="center"/>
    </xf>
    <xf numFmtId="200" fontId="66" fillId="2" borderId="7" xfId="24" applyFont="1" applyFill="1" applyBorder="1" applyAlignment="1">
      <alignment horizontal="center"/>
    </xf>
    <xf numFmtId="3" fontId="66" fillId="2" borderId="18" xfId="0" applyNumberFormat="1" applyFont="1" applyFill="1" applyBorder="1" applyAlignment="1">
      <alignment horizontal="center"/>
    </xf>
    <xf numFmtId="40" fontId="67" fillId="0" borderId="10" xfId="0" applyNumberFormat="1" applyFont="1" applyBorder="1" applyAlignment="1">
      <alignment horizontal="center"/>
    </xf>
    <xf numFmtId="40" fontId="67" fillId="0" borderId="9" xfId="0" applyNumberFormat="1" applyFont="1" applyBorder="1" applyAlignment="1">
      <alignment horizontal="center"/>
    </xf>
    <xf numFmtId="40" fontId="66" fillId="0" borderId="9" xfId="0" applyNumberFormat="1" applyFont="1" applyBorder="1" applyAlignment="1">
      <alignment horizontal="center"/>
    </xf>
    <xf numFmtId="202" fontId="67" fillId="0" borderId="0" xfId="24" applyNumberFormat="1" applyFont="1" applyFill="1" applyBorder="1" applyAlignment="1">
      <alignment/>
    </xf>
    <xf numFmtId="40" fontId="67" fillId="0" borderId="7" xfId="0" applyNumberFormat="1" applyFont="1" applyBorder="1" applyAlignment="1">
      <alignment horizontal="center"/>
    </xf>
    <xf numFmtId="202" fontId="67" fillId="0" borderId="13" xfId="24" applyNumberFormat="1" applyFont="1" applyBorder="1" applyAlignment="1">
      <alignment/>
    </xf>
    <xf numFmtId="202" fontId="67" fillId="0" borderId="0" xfId="24" applyNumberFormat="1" applyFont="1" applyBorder="1" applyAlignment="1">
      <alignment/>
    </xf>
    <xf numFmtId="202" fontId="67" fillId="0" borderId="9" xfId="24" applyNumberFormat="1" applyFont="1" applyBorder="1" applyAlignment="1">
      <alignment/>
    </xf>
    <xf numFmtId="40" fontId="67" fillId="0" borderId="9" xfId="0" applyNumberFormat="1" applyFont="1" applyBorder="1" applyAlignment="1">
      <alignment horizontal="right"/>
    </xf>
    <xf numFmtId="202" fontId="67" fillId="0" borderId="11" xfId="24" applyNumberFormat="1" applyFont="1" applyFill="1" applyBorder="1" applyAlignment="1">
      <alignment/>
    </xf>
    <xf numFmtId="202" fontId="67" fillId="0" borderId="11" xfId="24" applyNumberFormat="1" applyFont="1" applyBorder="1" applyAlignment="1">
      <alignment/>
    </xf>
    <xf numFmtId="202" fontId="67" fillId="0" borderId="16" xfId="24" applyNumberFormat="1" applyFont="1" applyBorder="1" applyAlignment="1">
      <alignment/>
    </xf>
    <xf numFmtId="200" fontId="67" fillId="0" borderId="11" xfId="24" applyFont="1" applyFill="1" applyBorder="1" applyAlignment="1">
      <alignment/>
    </xf>
    <xf numFmtId="202" fontId="66" fillId="0" borderId="7" xfId="24" applyNumberFormat="1" applyFont="1" applyBorder="1" applyAlignment="1">
      <alignment/>
    </xf>
    <xf numFmtId="40" fontId="67" fillId="0" borderId="13" xfId="0" applyNumberFormat="1" applyFont="1" applyBorder="1" applyAlignment="1">
      <alignment horizontal="right"/>
    </xf>
    <xf numFmtId="202" fontId="66" fillId="0" borderId="7" xfId="24" applyNumberFormat="1" applyFont="1" applyFill="1" applyBorder="1" applyAlignment="1">
      <alignment/>
    </xf>
    <xf numFmtId="200" fontId="66" fillId="0" borderId="7" xfId="24" applyFont="1" applyBorder="1" applyAlignment="1">
      <alignment/>
    </xf>
    <xf numFmtId="202" fontId="67" fillId="2" borderId="19" xfId="24" applyNumberFormat="1" applyFont="1" applyFill="1" applyBorder="1" applyAlignment="1">
      <alignment/>
    </xf>
    <xf numFmtId="40" fontId="67" fillId="2" borderId="19" xfId="0" applyNumberFormat="1" applyFont="1" applyFill="1" applyBorder="1" applyAlignment="1">
      <alignment horizontal="right"/>
    </xf>
    <xf numFmtId="200" fontId="67" fillId="2" borderId="19" xfId="24" applyFont="1" applyFill="1" applyBorder="1" applyAlignment="1">
      <alignment/>
    </xf>
    <xf numFmtId="202" fontId="66" fillId="2" borderId="21" xfId="24" applyNumberFormat="1" applyFont="1" applyFill="1" applyBorder="1" applyAlignment="1">
      <alignment/>
    </xf>
    <xf numFmtId="40" fontId="67" fillId="2" borderId="21" xfId="0" applyNumberFormat="1" applyFont="1" applyFill="1" applyBorder="1" applyAlignment="1">
      <alignment horizontal="right"/>
    </xf>
    <xf numFmtId="200" fontId="66" fillId="2" borderId="21" xfId="24" applyFont="1" applyFill="1" applyBorder="1" applyAlignment="1">
      <alignment/>
    </xf>
    <xf numFmtId="200" fontId="67" fillId="2" borderId="7" xfId="24" applyFont="1" applyFill="1" applyBorder="1" applyAlignment="1">
      <alignment/>
    </xf>
    <xf numFmtId="9" fontId="4" fillId="2" borderId="0" xfId="0" applyNumberFormat="1" applyFont="1" applyFill="1" applyBorder="1" applyAlignment="1">
      <alignment/>
    </xf>
    <xf numFmtId="201" fontId="4" fillId="2" borderId="0" xfId="0" applyNumberFormat="1" applyFont="1" applyFill="1" applyBorder="1" applyAlignment="1">
      <alignment/>
    </xf>
    <xf numFmtId="9" fontId="4" fillId="2" borderId="0" xfId="93" applyFont="1" applyFill="1" applyBorder="1" applyAlignment="1">
      <alignment/>
    </xf>
    <xf numFmtId="9" fontId="4" fillId="2" borderId="3" xfId="93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/>
    </xf>
    <xf numFmtId="201" fontId="4" fillId="0" borderId="0" xfId="0" applyNumberFormat="1" applyFont="1" applyFill="1" applyBorder="1" applyAlignment="1">
      <alignment/>
    </xf>
    <xf numFmtId="9" fontId="4" fillId="0" borderId="0" xfId="93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9" fontId="5" fillId="2" borderId="3" xfId="0" applyNumberFormat="1" applyFont="1" applyFill="1" applyBorder="1" applyAlignment="1">
      <alignment horizontal="center"/>
    </xf>
    <xf numFmtId="201" fontId="4" fillId="2" borderId="12" xfId="0" applyNumberFormat="1" applyFont="1" applyFill="1" applyBorder="1" applyAlignment="1">
      <alignment/>
    </xf>
    <xf numFmtId="9" fontId="4" fillId="2" borderId="27" xfId="93" applyFont="1" applyFill="1" applyBorder="1" applyAlignment="1">
      <alignment/>
    </xf>
    <xf numFmtId="201" fontId="4" fillId="2" borderId="1" xfId="0" applyNumberFormat="1" applyFont="1" applyFill="1" applyBorder="1" applyAlignment="1">
      <alignment/>
    </xf>
    <xf numFmtId="9" fontId="4" fillId="2" borderId="3" xfId="0" applyNumberFormat="1" applyFont="1" applyFill="1" applyBorder="1" applyAlignment="1">
      <alignment/>
    </xf>
    <xf numFmtId="200" fontId="4" fillId="2" borderId="11" xfId="24" applyFont="1" applyFill="1" applyBorder="1" applyAlignment="1">
      <alignment/>
    </xf>
    <xf numFmtId="200" fontId="4" fillId="2" borderId="9" xfId="24" applyFont="1" applyFill="1" applyBorder="1" applyAlignment="1">
      <alignment/>
    </xf>
    <xf numFmtId="200" fontId="4" fillId="2" borderId="18" xfId="24" applyFont="1" applyFill="1" applyBorder="1" applyAlignment="1">
      <alignment/>
    </xf>
    <xf numFmtId="200" fontId="5" fillId="2" borderId="15" xfId="24" applyFont="1" applyFill="1" applyBorder="1" applyAlignment="1">
      <alignment/>
    </xf>
    <xf numFmtId="200" fontId="4" fillId="2" borderId="15" xfId="24" applyFont="1" applyFill="1" applyBorder="1" applyAlignment="1">
      <alignment/>
    </xf>
    <xf numFmtId="200" fontId="25" fillId="0" borderId="14" xfId="24" applyFont="1" applyFill="1" applyBorder="1" applyAlignment="1">
      <alignment/>
    </xf>
    <xf numFmtId="198" fontId="22" fillId="0" borderId="11" xfId="24" applyNumberFormat="1" applyFont="1" applyFill="1" applyBorder="1" applyAlignment="1">
      <alignment/>
    </xf>
    <xf numFmtId="200" fontId="7" fillId="0" borderId="14" xfId="24" applyFont="1" applyBorder="1" applyAlignment="1">
      <alignment/>
    </xf>
    <xf numFmtId="0" fontId="4" fillId="0" borderId="14" xfId="0" applyNumberFormat="1" applyFont="1" applyFill="1" applyBorder="1" applyAlignment="1">
      <alignment horizontal="center" wrapText="1"/>
    </xf>
    <xf numFmtId="200" fontId="26" fillId="0" borderId="10" xfId="24" applyFont="1" applyFill="1" applyBorder="1" applyAlignment="1">
      <alignment/>
    </xf>
    <xf numFmtId="200" fontId="5" fillId="0" borderId="9" xfId="24" applyFont="1" applyFill="1" applyBorder="1" applyAlignment="1">
      <alignment/>
    </xf>
    <xf numFmtId="200" fontId="5" fillId="0" borderId="10" xfId="24" applyFont="1" applyFill="1" applyBorder="1" applyAlignment="1">
      <alignment/>
    </xf>
    <xf numFmtId="200" fontId="7" fillId="0" borderId="10" xfId="24" applyFont="1" applyBorder="1" applyAlignment="1">
      <alignment/>
    </xf>
    <xf numFmtId="198" fontId="30" fillId="0" borderId="11" xfId="24" applyNumberFormat="1" applyFont="1" applyFill="1" applyBorder="1" applyAlignment="1">
      <alignment/>
    </xf>
    <xf numFmtId="3" fontId="2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35" fillId="0" borderId="0" xfId="92" applyNumberFormat="1" applyFont="1" applyAlignment="1" applyProtection="1">
      <alignment vertical="center"/>
      <protection/>
    </xf>
    <xf numFmtId="0" fontId="35" fillId="0" borderId="0" xfId="92" applyNumberFormat="1" applyFont="1">
      <alignment/>
      <protection/>
    </xf>
    <xf numFmtId="209" fontId="35" fillId="0" borderId="0" xfId="92" applyNumberFormat="1" applyFont="1">
      <alignment/>
      <protection/>
    </xf>
    <xf numFmtId="43" fontId="1" fillId="0" borderId="0" xfId="36" applyFont="1" applyAlignment="1">
      <alignment/>
    </xf>
    <xf numFmtId="0" fontId="1" fillId="0" borderId="0" xfId="92">
      <alignment/>
      <protection/>
    </xf>
    <xf numFmtId="0" fontId="35" fillId="0" borderId="0" xfId="92" applyNumberFormat="1" applyFont="1" applyAlignment="1">
      <alignment vertical="center"/>
      <protection/>
    </xf>
    <xf numFmtId="0" fontId="35" fillId="8" borderId="20" xfId="92" applyNumberFormat="1" applyFont="1" applyFill="1" applyBorder="1">
      <alignment/>
      <protection/>
    </xf>
    <xf numFmtId="0" fontId="35" fillId="8" borderId="1" xfId="92" applyNumberFormat="1" applyFont="1" applyFill="1" applyBorder="1">
      <alignment/>
      <protection/>
    </xf>
    <xf numFmtId="209" fontId="35" fillId="8" borderId="1" xfId="92" applyNumberFormat="1" applyFont="1" applyFill="1" applyBorder="1">
      <alignment/>
      <protection/>
    </xf>
    <xf numFmtId="43" fontId="1" fillId="8" borderId="1" xfId="36" applyFont="1" applyFill="1" applyBorder="1" applyAlignment="1">
      <alignment/>
    </xf>
    <xf numFmtId="0" fontId="35" fillId="8" borderId="12" xfId="92" applyNumberFormat="1" applyFont="1" applyFill="1" applyBorder="1" applyAlignment="1">
      <alignment horizontal="center"/>
      <protection/>
    </xf>
    <xf numFmtId="0" fontId="5" fillId="8" borderId="0" xfId="92" applyNumberFormat="1" applyFont="1" applyFill="1" applyBorder="1" applyAlignment="1">
      <alignment horizontal="center"/>
      <protection/>
    </xf>
    <xf numFmtId="209" fontId="35" fillId="8" borderId="0" xfId="92" applyNumberFormat="1" applyFont="1" applyFill="1" applyBorder="1" applyAlignment="1">
      <alignment horizontal="center"/>
      <protection/>
    </xf>
    <xf numFmtId="43" fontId="35" fillId="8" borderId="0" xfId="36" applyFont="1" applyFill="1" applyBorder="1" applyAlignment="1">
      <alignment horizontal="center"/>
    </xf>
    <xf numFmtId="0" fontId="35" fillId="8" borderId="23" xfId="92" applyNumberFormat="1" applyFont="1" applyFill="1" applyBorder="1" applyAlignment="1">
      <alignment horizontal="center"/>
      <protection/>
    </xf>
    <xf numFmtId="0" fontId="5" fillId="8" borderId="25" xfId="92" applyNumberFormat="1" applyFont="1" applyFill="1" applyBorder="1" applyAlignment="1">
      <alignment horizontal="center"/>
      <protection/>
    </xf>
    <xf numFmtId="0" fontId="35" fillId="8" borderId="25" xfId="92" applyNumberFormat="1" applyFont="1" applyFill="1" applyBorder="1" applyAlignment="1">
      <alignment horizontal="center"/>
      <protection/>
    </xf>
    <xf numFmtId="43" fontId="35" fillId="8" borderId="25" xfId="36" applyFont="1" applyFill="1" applyBorder="1" applyAlignment="1">
      <alignment horizontal="center"/>
    </xf>
    <xf numFmtId="0" fontId="1" fillId="0" borderId="0" xfId="92" applyNumberFormat="1" applyFont="1">
      <alignment/>
      <protection/>
    </xf>
    <xf numFmtId="209" fontId="1" fillId="0" borderId="0" xfId="92" applyNumberFormat="1" applyFont="1" applyAlignment="1">
      <alignment vertical="center"/>
      <protection/>
    </xf>
    <xf numFmtId="40" fontId="1" fillId="0" borderId="0" xfId="36" applyNumberFormat="1" applyFont="1" applyAlignment="1">
      <alignment/>
    </xf>
    <xf numFmtId="0" fontId="1" fillId="9" borderId="0" xfId="92" applyFill="1">
      <alignment/>
      <protection/>
    </xf>
    <xf numFmtId="0" fontId="1" fillId="0" borderId="0" xfId="92" applyNumberFormat="1" applyFont="1" applyFill="1">
      <alignment/>
      <protection/>
    </xf>
    <xf numFmtId="209" fontId="1" fillId="0" borderId="0" xfId="92" applyNumberFormat="1" applyFont="1" applyFill="1" applyAlignment="1">
      <alignment vertical="center"/>
      <protection/>
    </xf>
    <xf numFmtId="40" fontId="1" fillId="0" borderId="0" xfId="36" applyNumberFormat="1" applyFont="1" applyFill="1" applyAlignment="1">
      <alignment/>
    </xf>
    <xf numFmtId="40" fontId="1" fillId="9" borderId="0" xfId="92" applyNumberFormat="1" applyFill="1">
      <alignment/>
      <protection/>
    </xf>
    <xf numFmtId="209" fontId="68" fillId="0" borderId="0" xfId="92" applyNumberFormat="1" applyFont="1" applyAlignment="1">
      <alignment vertical="center"/>
      <protection/>
    </xf>
    <xf numFmtId="0" fontId="1" fillId="7" borderId="0" xfId="92" applyNumberFormat="1" applyFont="1" applyFill="1">
      <alignment/>
      <protection/>
    </xf>
    <xf numFmtId="209" fontId="1" fillId="7" borderId="0" xfId="92" applyNumberFormat="1" applyFont="1" applyFill="1" applyAlignment="1">
      <alignment vertical="center"/>
      <protection/>
    </xf>
    <xf numFmtId="40" fontId="1" fillId="7" borderId="0" xfId="36" applyNumberFormat="1" applyFont="1" applyFill="1" applyAlignment="1">
      <alignment/>
    </xf>
    <xf numFmtId="209" fontId="68" fillId="7" borderId="0" xfId="92" applyNumberFormat="1" applyFont="1" applyFill="1" applyAlignment="1">
      <alignment vertical="center"/>
      <protection/>
    </xf>
    <xf numFmtId="209" fontId="1" fillId="4" borderId="0" xfId="92" applyNumberFormat="1" applyFont="1" applyFill="1" applyAlignment="1">
      <alignment vertical="center"/>
      <protection/>
    </xf>
    <xf numFmtId="0" fontId="1" fillId="5" borderId="0" xfId="92" applyNumberFormat="1" applyFont="1" applyFill="1">
      <alignment/>
      <protection/>
    </xf>
    <xf numFmtId="209" fontId="68" fillId="5" borderId="0" xfId="92" applyNumberFormat="1" applyFont="1" applyFill="1" applyAlignment="1">
      <alignment vertical="center"/>
      <protection/>
    </xf>
    <xf numFmtId="40" fontId="1" fillId="5" borderId="0" xfId="36" applyNumberFormat="1" applyFont="1" applyFill="1" applyAlignment="1">
      <alignment/>
    </xf>
    <xf numFmtId="209" fontId="69" fillId="0" borderId="0" xfId="92" applyNumberFormat="1" applyFont="1" applyAlignment="1">
      <alignment vertical="center"/>
      <protection/>
    </xf>
    <xf numFmtId="209" fontId="36" fillId="0" borderId="0" xfId="92" applyNumberFormat="1" applyFont="1" applyAlignment="1">
      <alignment vertical="center"/>
      <protection/>
    </xf>
    <xf numFmtId="209" fontId="70" fillId="0" borderId="0" xfId="92" applyNumberFormat="1" applyFont="1" applyAlignment="1">
      <alignment horizontal="fill" vertical="center"/>
      <protection/>
    </xf>
    <xf numFmtId="209" fontId="68" fillId="0" borderId="0" xfId="92" applyNumberFormat="1" applyFont="1" applyFill="1" applyAlignment="1">
      <alignment vertical="center"/>
      <protection/>
    </xf>
    <xf numFmtId="43" fontId="1" fillId="0" borderId="0" xfId="36" applyAlignment="1">
      <alignment/>
    </xf>
    <xf numFmtId="0" fontId="1" fillId="9" borderId="0" xfId="36" applyNumberFormat="1" applyFill="1" applyAlignment="1">
      <alignment/>
    </xf>
    <xf numFmtId="40" fontId="1" fillId="9" borderId="0" xfId="36" applyNumberFormat="1" applyFill="1" applyAlignment="1">
      <alignment/>
    </xf>
    <xf numFmtId="0" fontId="1" fillId="8" borderId="0" xfId="92" applyNumberFormat="1" applyFont="1" applyFill="1">
      <alignment/>
      <protection/>
    </xf>
    <xf numFmtId="209" fontId="36" fillId="8" borderId="0" xfId="92" applyNumberFormat="1" applyFont="1" applyFill="1" applyAlignment="1">
      <alignment vertical="center"/>
      <protection/>
    </xf>
    <xf numFmtId="40" fontId="1" fillId="8" borderId="0" xfId="36" applyNumberFormat="1" applyFont="1" applyFill="1" applyAlignment="1">
      <alignment/>
    </xf>
    <xf numFmtId="209" fontId="68" fillId="8" borderId="0" xfId="92" applyNumberFormat="1" applyFont="1" applyFill="1" applyAlignment="1">
      <alignment vertical="center"/>
      <protection/>
    </xf>
    <xf numFmtId="0" fontId="1" fillId="6" borderId="0" xfId="92" applyNumberFormat="1" applyFont="1" applyFill="1">
      <alignment/>
      <protection/>
    </xf>
    <xf numFmtId="209" fontId="68" fillId="6" borderId="0" xfId="92" applyNumberFormat="1" applyFont="1" applyFill="1" applyAlignment="1">
      <alignment vertical="center"/>
      <protection/>
    </xf>
    <xf numFmtId="40" fontId="1" fillId="6" borderId="0" xfId="36" applyNumberFormat="1" applyFont="1" applyFill="1" applyAlignment="1">
      <alignment/>
    </xf>
    <xf numFmtId="209" fontId="69" fillId="0" borderId="0" xfId="92" applyNumberFormat="1" applyFont="1" applyFill="1" applyAlignment="1">
      <alignment vertical="center"/>
      <protection/>
    </xf>
    <xf numFmtId="209" fontId="36" fillId="0" borderId="0" xfId="92" applyNumberFormat="1" applyFont="1" applyFill="1" applyAlignment="1">
      <alignment vertical="center"/>
      <protection/>
    </xf>
    <xf numFmtId="0" fontId="1" fillId="10" borderId="0" xfId="92" applyNumberFormat="1" applyFont="1" applyFill="1">
      <alignment/>
      <protection/>
    </xf>
    <xf numFmtId="209" fontId="68" fillId="10" borderId="0" xfId="92" applyNumberFormat="1" applyFont="1" applyFill="1" applyAlignment="1">
      <alignment vertical="center"/>
      <protection/>
    </xf>
    <xf numFmtId="40" fontId="1" fillId="10" borderId="0" xfId="36" applyNumberFormat="1" applyFont="1" applyFill="1" applyAlignment="1">
      <alignment/>
    </xf>
    <xf numFmtId="40" fontId="1" fillId="11" borderId="0" xfId="36" applyNumberFormat="1" applyFont="1" applyFill="1" applyAlignment="1">
      <alignment/>
    </xf>
    <xf numFmtId="209" fontId="70" fillId="0" borderId="0" xfId="92" applyNumberFormat="1" applyFont="1" applyFill="1" applyAlignment="1">
      <alignment horizontal="fill" vertical="center"/>
      <protection/>
    </xf>
    <xf numFmtId="40" fontId="71" fillId="7" borderId="0" xfId="36" applyNumberFormat="1" applyFont="1" applyFill="1" applyAlignment="1" applyProtection="1">
      <alignment/>
      <protection locked="0"/>
    </xf>
    <xf numFmtId="0" fontId="1" fillId="0" borderId="7" xfId="92" applyNumberFormat="1" applyFont="1" applyBorder="1">
      <alignment/>
      <protection/>
    </xf>
    <xf numFmtId="209" fontId="1" fillId="0" borderId="7" xfId="92" applyNumberFormat="1" applyFont="1" applyBorder="1" applyAlignment="1">
      <alignment vertical="center"/>
      <protection/>
    </xf>
    <xf numFmtId="40" fontId="1" fillId="0" borderId="7" xfId="36" applyNumberFormat="1" applyFont="1" applyBorder="1" applyAlignment="1">
      <alignment/>
    </xf>
    <xf numFmtId="43" fontId="1" fillId="12" borderId="0" xfId="36" applyFill="1" applyAlignment="1">
      <alignment/>
    </xf>
    <xf numFmtId="40" fontId="1" fillId="0" borderId="0" xfId="92" applyNumberFormat="1" applyFont="1">
      <alignment/>
      <protection/>
    </xf>
    <xf numFmtId="198" fontId="4" fillId="0" borderId="28" xfId="24" applyNumberFormat="1" applyFont="1" applyFill="1" applyBorder="1" applyAlignment="1">
      <alignment/>
    </xf>
    <xf numFmtId="198" fontId="4" fillId="0" borderId="29" xfId="24" applyNumberFormat="1" applyFont="1" applyFill="1" applyBorder="1" applyAlignment="1">
      <alignment/>
    </xf>
    <xf numFmtId="198" fontId="22" fillId="0" borderId="28" xfId="24" applyNumberFormat="1" applyFont="1" applyFill="1" applyBorder="1" applyAlignment="1">
      <alignment/>
    </xf>
    <xf numFmtId="198" fontId="4" fillId="0" borderId="28" xfId="24" applyNumberFormat="1" applyFont="1" applyFill="1" applyBorder="1" applyAlignment="1">
      <alignment/>
    </xf>
    <xf numFmtId="198" fontId="4" fillId="0" borderId="29" xfId="24" applyNumberFormat="1" applyFont="1" applyFill="1" applyBorder="1" applyAlignment="1">
      <alignment/>
    </xf>
    <xf numFmtId="202" fontId="4" fillId="0" borderId="28" xfId="24" applyNumberFormat="1" applyFont="1" applyFill="1" applyBorder="1" applyAlignment="1">
      <alignment/>
    </xf>
    <xf numFmtId="202" fontId="8" fillId="0" borderId="29" xfId="24" applyNumberFormat="1" applyFont="1" applyFill="1" applyBorder="1" applyAlignment="1">
      <alignment/>
    </xf>
    <xf numFmtId="202" fontId="4" fillId="0" borderId="29" xfId="24" applyNumberFormat="1" applyFont="1" applyFill="1" applyBorder="1" applyAlignment="1">
      <alignment/>
    </xf>
    <xf numFmtId="0" fontId="1" fillId="5" borderId="0" xfId="92" applyFill="1">
      <alignment/>
      <protection/>
    </xf>
    <xf numFmtId="200" fontId="1" fillId="0" borderId="0" xfId="24" applyAlignment="1">
      <alignment/>
    </xf>
    <xf numFmtId="40" fontId="1" fillId="5" borderId="0" xfId="92" applyNumberFormat="1" applyFill="1">
      <alignment/>
      <protection/>
    </xf>
    <xf numFmtId="200" fontId="1" fillId="5" borderId="0" xfId="24" applyFill="1" applyAlignment="1">
      <alignment/>
    </xf>
    <xf numFmtId="198" fontId="30" fillId="0" borderId="18" xfId="24" applyNumberFormat="1" applyFont="1" applyFill="1" applyBorder="1" applyAlignment="1">
      <alignment/>
    </xf>
    <xf numFmtId="198" fontId="25" fillId="0" borderId="23" xfId="24" applyNumberFormat="1" applyFont="1" applyBorder="1" applyAlignment="1">
      <alignment horizontal="right"/>
    </xf>
    <xf numFmtId="40" fontId="1" fillId="6" borderId="0" xfId="36" applyNumberFormat="1" applyFill="1" applyAlignment="1">
      <alignment/>
    </xf>
    <xf numFmtId="0" fontId="1" fillId="6" borderId="0" xfId="36" applyNumberFormat="1" applyFill="1" applyAlignment="1">
      <alignment/>
    </xf>
    <xf numFmtId="0" fontId="1" fillId="0" borderId="0" xfId="36" applyNumberFormat="1" applyFill="1" applyAlignment="1">
      <alignment/>
    </xf>
    <xf numFmtId="40" fontId="1" fillId="0" borderId="0" xfId="36" applyNumberFormat="1" applyFill="1" applyAlignment="1">
      <alignment/>
    </xf>
    <xf numFmtId="198" fontId="26" fillId="0" borderId="7" xfId="24" applyNumberFormat="1" applyFont="1" applyFill="1" applyBorder="1" applyAlignment="1">
      <alignment/>
    </xf>
    <xf numFmtId="198" fontId="25" fillId="0" borderId="12" xfId="0" applyNumberFormat="1" applyFont="1" applyFill="1" applyBorder="1" applyAlignment="1">
      <alignment horizontal="right" wrapText="1"/>
    </xf>
    <xf numFmtId="1" fontId="4" fillId="0" borderId="9" xfId="24" applyNumberFormat="1" applyFont="1" applyBorder="1" applyAlignment="1">
      <alignment horizontal="center"/>
    </xf>
    <xf numFmtId="1" fontId="4" fillId="0" borderId="9" xfId="24" applyNumberFormat="1" applyFont="1" applyFill="1" applyBorder="1" applyAlignment="1">
      <alignment horizontal="center"/>
    </xf>
    <xf numFmtId="200" fontId="25" fillId="0" borderId="0" xfId="24" applyFont="1" applyAlignment="1">
      <alignment horizontal="center"/>
    </xf>
    <xf numFmtId="202" fontId="8" fillId="0" borderId="13" xfId="24" applyNumberFormat="1" applyFont="1" applyFill="1" applyBorder="1" applyAlignment="1">
      <alignment/>
    </xf>
    <xf numFmtId="202" fontId="7" fillId="0" borderId="3" xfId="24" applyNumberFormat="1" applyFont="1" applyFill="1" applyBorder="1" applyAlignment="1">
      <alignment/>
    </xf>
    <xf numFmtId="38" fontId="8" fillId="0" borderId="16" xfId="0" applyNumberFormat="1" applyFont="1" applyFill="1" applyBorder="1" applyAlignment="1">
      <alignment/>
    </xf>
    <xf numFmtId="38" fontId="7" fillId="0" borderId="13" xfId="0" applyNumberFormat="1" applyFont="1" applyFill="1" applyBorder="1" applyAlignment="1">
      <alignment/>
    </xf>
    <xf numFmtId="200" fontId="67" fillId="0" borderId="17" xfId="24" applyFont="1" applyBorder="1" applyAlignment="1">
      <alignment/>
    </xf>
    <xf numFmtId="200" fontId="67" fillId="0" borderId="9" xfId="24" applyFont="1" applyBorder="1" applyAlignment="1">
      <alignment/>
    </xf>
    <xf numFmtId="200" fontId="67" fillId="0" borderId="9" xfId="24" applyFont="1" applyFill="1" applyBorder="1" applyAlignment="1">
      <alignment/>
    </xf>
    <xf numFmtId="200" fontId="67" fillId="0" borderId="7" xfId="24" applyFont="1" applyFill="1" applyBorder="1" applyAlignment="1">
      <alignment/>
    </xf>
    <xf numFmtId="200" fontId="67" fillId="0" borderId="18" xfId="24" applyFont="1" applyBorder="1" applyAlignment="1">
      <alignment/>
    </xf>
    <xf numFmtId="202" fontId="4" fillId="0" borderId="0" xfId="0" applyNumberFormat="1" applyFont="1" applyBorder="1" applyAlignment="1">
      <alignment/>
    </xf>
    <xf numFmtId="202" fontId="4" fillId="2" borderId="0" xfId="24" applyNumberFormat="1" applyFont="1" applyFill="1" applyBorder="1" applyAlignment="1">
      <alignment/>
    </xf>
    <xf numFmtId="200" fontId="4" fillId="2" borderId="0" xfId="24" applyFont="1" applyFill="1" applyBorder="1" applyAlignment="1">
      <alignment/>
    </xf>
    <xf numFmtId="200" fontId="5" fillId="0" borderId="7" xfId="24" applyNumberFormat="1" applyFont="1" applyFill="1" applyBorder="1" applyAlignment="1">
      <alignment/>
    </xf>
    <xf numFmtId="200" fontId="5" fillId="0" borderId="7" xfId="24" applyFont="1" applyFill="1" applyBorder="1" applyAlignment="1">
      <alignment/>
    </xf>
    <xf numFmtId="200" fontId="7" fillId="0" borderId="7" xfId="24" applyNumberFormat="1" applyFont="1" applyFill="1" applyBorder="1" applyAlignment="1">
      <alignment/>
    </xf>
    <xf numFmtId="200" fontId="4" fillId="0" borderId="10" xfId="24" applyFont="1" applyBorder="1" applyAlignment="1">
      <alignment horizontal="center"/>
    </xf>
    <xf numFmtId="200" fontId="4" fillId="0" borderId="10" xfId="24" applyFont="1" applyFill="1" applyBorder="1" applyAlignment="1">
      <alignment horizontal="center"/>
    </xf>
    <xf numFmtId="200" fontId="4" fillId="0" borderId="10" xfId="24" applyFont="1" applyFill="1" applyBorder="1" applyAlignment="1">
      <alignment horizontal="center"/>
    </xf>
    <xf numFmtId="200" fontId="4" fillId="2" borderId="7" xfId="24" applyFont="1" applyFill="1" applyBorder="1" applyAlignment="1">
      <alignment/>
    </xf>
    <xf numFmtId="0" fontId="72" fillId="0" borderId="0" xfId="91" applyFont="1">
      <alignment/>
      <protection/>
    </xf>
    <xf numFmtId="0" fontId="20" fillId="0" borderId="0" xfId="91" applyFont="1">
      <alignment/>
      <protection/>
    </xf>
    <xf numFmtId="0" fontId="21" fillId="0" borderId="0" xfId="91" applyFont="1" applyFill="1">
      <alignment/>
      <protection/>
    </xf>
    <xf numFmtId="0" fontId="21" fillId="0" borderId="0" xfId="91" applyFont="1">
      <alignment/>
      <protection/>
    </xf>
    <xf numFmtId="198" fontId="21" fillId="0" borderId="0" xfId="91" applyNumberFormat="1" applyFont="1">
      <alignment/>
      <protection/>
    </xf>
    <xf numFmtId="204" fontId="21" fillId="0" borderId="0" xfId="91" applyNumberFormat="1" applyFont="1">
      <alignment/>
      <protection/>
    </xf>
    <xf numFmtId="203" fontId="20" fillId="0" borderId="0" xfId="91" applyNumberFormat="1" applyFont="1" applyAlignment="1">
      <alignment horizontal="left"/>
      <protection/>
    </xf>
    <xf numFmtId="0" fontId="73" fillId="0" borderId="0" xfId="91" applyFont="1" applyAlignment="1">
      <alignment horizontal="center"/>
      <protection/>
    </xf>
    <xf numFmtId="0" fontId="73" fillId="0" borderId="0" xfId="91" applyFont="1" applyFill="1" applyAlignment="1">
      <alignment horizontal="center"/>
      <protection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74" fillId="0" borderId="0" xfId="0" applyFont="1" applyFill="1" applyAlignment="1">
      <alignment horizontal="center"/>
    </xf>
    <xf numFmtId="39" fontId="21" fillId="0" borderId="0" xfId="91" applyNumberFormat="1" applyFont="1" applyAlignment="1" applyProtection="1">
      <alignment horizontal="center" vertical="center"/>
      <protection/>
    </xf>
    <xf numFmtId="0" fontId="21" fillId="13" borderId="0" xfId="91" applyFont="1" applyFill="1" applyAlignment="1">
      <alignment horizontal="center"/>
      <protection/>
    </xf>
    <xf numFmtId="39" fontId="20" fillId="13" borderId="0" xfId="91" applyNumberFormat="1" applyFont="1" applyFill="1" applyAlignment="1" applyProtection="1">
      <alignment horizontal="center" vertical="center"/>
      <protection/>
    </xf>
    <xf numFmtId="0" fontId="20" fillId="13" borderId="0" xfId="91" applyFont="1" applyFill="1" applyAlignment="1" applyProtection="1">
      <alignment horizontal="center" vertical="center"/>
      <protection/>
    </xf>
    <xf numFmtId="39" fontId="20" fillId="0" borderId="0" xfId="91" applyNumberFormat="1" applyFont="1" applyAlignment="1" applyProtection="1">
      <alignment horizontal="center" vertical="center"/>
      <protection/>
    </xf>
    <xf numFmtId="39" fontId="75" fillId="0" borderId="0" xfId="91" applyNumberFormat="1" applyFont="1" applyAlignment="1" applyProtection="1">
      <alignment horizontal="left" vertical="center"/>
      <protection/>
    </xf>
    <xf numFmtId="200" fontId="20" fillId="0" borderId="0" xfId="35" applyFont="1" applyAlignment="1" applyProtection="1">
      <alignment horizontal="center" vertical="center"/>
      <protection/>
    </xf>
    <xf numFmtId="200" fontId="75" fillId="0" borderId="0" xfId="35" applyFont="1" applyAlignment="1" applyProtection="1">
      <alignment horizontal="center" vertical="center"/>
      <protection/>
    </xf>
    <xf numFmtId="200" fontId="73" fillId="0" borderId="0" xfId="35" applyFont="1" applyAlignment="1" applyProtection="1">
      <alignment horizontal="center" vertical="center"/>
      <protection/>
    </xf>
    <xf numFmtId="200" fontId="20" fillId="0" borderId="0" xfId="35" applyFont="1" applyFill="1" applyAlignment="1" applyProtection="1">
      <alignment horizontal="center" vertical="center"/>
      <protection/>
    </xf>
    <xf numFmtId="39" fontId="76" fillId="11" borderId="0" xfId="91" applyNumberFormat="1" applyFont="1" applyFill="1" applyAlignment="1" applyProtection="1">
      <alignment horizontal="left" vertical="center"/>
      <protection/>
    </xf>
    <xf numFmtId="39" fontId="21" fillId="0" borderId="0" xfId="91" applyNumberFormat="1" applyFont="1" applyAlignment="1" applyProtection="1">
      <alignment horizontal="left" vertical="center"/>
      <protection/>
    </xf>
    <xf numFmtId="198" fontId="21" fillId="0" borderId="0" xfId="91" applyNumberFormat="1" applyFont="1" applyAlignment="1" applyProtection="1">
      <alignment horizontal="right" vertical="center"/>
      <protection/>
    </xf>
    <xf numFmtId="198" fontId="21" fillId="0" borderId="0" xfId="35" applyNumberFormat="1" applyFont="1" applyAlignment="1" applyProtection="1">
      <alignment horizontal="right" vertical="center"/>
      <protection/>
    </xf>
    <xf numFmtId="198" fontId="21" fillId="0" borderId="0" xfId="35" applyNumberFormat="1" applyFont="1" applyFill="1" applyAlignment="1" applyProtection="1">
      <alignment horizontal="right" vertical="center"/>
      <protection/>
    </xf>
    <xf numFmtId="0" fontId="20" fillId="5" borderId="0" xfId="91" applyFont="1" applyFill="1" applyAlignment="1">
      <alignment horizontal="left"/>
      <protection/>
    </xf>
    <xf numFmtId="198" fontId="20" fillId="5" borderId="0" xfId="91" applyNumberFormat="1" applyFont="1" applyFill="1">
      <alignment/>
      <protection/>
    </xf>
    <xf numFmtId="0" fontId="20" fillId="9" borderId="0" xfId="91" applyFont="1" applyFill="1" applyAlignment="1">
      <alignment horizontal="left"/>
      <protection/>
    </xf>
    <xf numFmtId="198" fontId="20" fillId="9" borderId="0" xfId="91" applyNumberFormat="1" applyFont="1" applyFill="1">
      <alignment/>
      <protection/>
    </xf>
    <xf numFmtId="198" fontId="21" fillId="0" borderId="0" xfId="91" applyNumberFormat="1" applyFont="1" applyFill="1" applyAlignment="1" applyProtection="1">
      <alignment horizontal="right" vertical="center"/>
      <protection/>
    </xf>
    <xf numFmtId="0" fontId="20" fillId="14" borderId="0" xfId="91" applyFont="1" applyFill="1" applyAlignment="1">
      <alignment horizontal="left"/>
      <protection/>
    </xf>
    <xf numFmtId="198" fontId="20" fillId="14" borderId="0" xfId="91" applyNumberFormat="1" applyFont="1" applyFill="1">
      <alignment/>
      <protection/>
    </xf>
    <xf numFmtId="202" fontId="77" fillId="0" borderId="0" xfId="24" applyNumberFormat="1" applyFont="1" applyAlignment="1">
      <alignment/>
    </xf>
    <xf numFmtId="39" fontId="20" fillId="0" borderId="0" xfId="91" applyNumberFormat="1" applyFont="1" applyFill="1" applyAlignment="1" applyProtection="1">
      <alignment horizontal="left" vertical="center"/>
      <protection/>
    </xf>
    <xf numFmtId="198" fontId="20" fillId="0" borderId="0" xfId="91" applyNumberFormat="1" applyFont="1" applyFill="1" applyAlignment="1" applyProtection="1">
      <alignment horizontal="right" vertical="center"/>
      <protection/>
    </xf>
    <xf numFmtId="202" fontId="20" fillId="0" borderId="0" xfId="24" applyNumberFormat="1" applyFont="1" applyFill="1" applyAlignment="1" applyProtection="1">
      <alignment horizontal="right" vertical="center"/>
      <protection/>
    </xf>
    <xf numFmtId="198" fontId="20" fillId="0" borderId="0" xfId="35" applyNumberFormat="1" applyFont="1" applyFill="1" applyAlignment="1" applyProtection="1">
      <alignment horizontal="right" vertical="center"/>
      <protection/>
    </xf>
    <xf numFmtId="39" fontId="73" fillId="0" borderId="0" xfId="91" applyNumberFormat="1" applyFont="1" applyFill="1" applyAlignment="1" applyProtection="1">
      <alignment horizontal="left" vertical="center"/>
      <protection/>
    </xf>
    <xf numFmtId="198" fontId="73" fillId="0" borderId="0" xfId="91" applyNumberFormat="1" applyFont="1" applyFill="1" applyAlignment="1" applyProtection="1">
      <alignment horizontal="right" vertical="center"/>
      <protection/>
    </xf>
    <xf numFmtId="198" fontId="73" fillId="0" borderId="0" xfId="35" applyNumberFormat="1" applyFont="1" applyFill="1" applyAlignment="1" applyProtection="1">
      <alignment horizontal="right" vertical="center"/>
      <protection/>
    </xf>
    <xf numFmtId="0" fontId="73" fillId="0" borderId="0" xfId="91" applyFont="1" applyFill="1">
      <alignment/>
      <protection/>
    </xf>
    <xf numFmtId="202" fontId="73" fillId="0" borderId="0" xfId="91" applyNumberFormat="1" applyFont="1" applyFill="1">
      <alignment/>
      <protection/>
    </xf>
    <xf numFmtId="202" fontId="73" fillId="0" borderId="0" xfId="24" applyNumberFormat="1" applyFont="1" applyFill="1" applyAlignment="1" applyProtection="1">
      <alignment horizontal="right" vertical="center"/>
      <protection/>
    </xf>
    <xf numFmtId="202" fontId="73" fillId="0" borderId="0" xfId="24" applyNumberFormat="1" applyFont="1" applyFill="1" applyAlignment="1">
      <alignment/>
    </xf>
    <xf numFmtId="198" fontId="21" fillId="0" borderId="0" xfId="91" applyNumberFormat="1" applyFont="1" applyFill="1">
      <alignment/>
      <protection/>
    </xf>
    <xf numFmtId="43" fontId="21" fillId="0" borderId="0" xfId="91" applyNumberFormat="1" applyFont="1" applyFill="1">
      <alignment/>
      <protection/>
    </xf>
    <xf numFmtId="0" fontId="20" fillId="9" borderId="0" xfId="91" applyFont="1" applyFill="1" applyAlignment="1">
      <alignment horizontal="center"/>
      <protection/>
    </xf>
    <xf numFmtId="0" fontId="20" fillId="14" borderId="0" xfId="91" applyFont="1" applyFill="1" applyAlignment="1">
      <alignment horizontal="center"/>
      <protection/>
    </xf>
    <xf numFmtId="202" fontId="21" fillId="0" borderId="0" xfId="24" applyNumberFormat="1" applyFont="1" applyAlignment="1" applyProtection="1">
      <alignment horizontal="right" vertical="center"/>
      <protection/>
    </xf>
    <xf numFmtId="9" fontId="78" fillId="0" borderId="0" xfId="93" applyFont="1" applyFill="1" applyAlignment="1">
      <alignment horizontal="center"/>
    </xf>
    <xf numFmtId="198" fontId="20" fillId="0" borderId="0" xfId="91" applyNumberFormat="1" applyFont="1" applyFill="1">
      <alignment/>
      <protection/>
    </xf>
    <xf numFmtId="0" fontId="20" fillId="0" borderId="0" xfId="91" applyFont="1" applyFill="1">
      <alignment/>
      <protection/>
    </xf>
    <xf numFmtId="39" fontId="79" fillId="0" borderId="0" xfId="91" applyNumberFormat="1" applyFont="1" applyFill="1" applyAlignment="1" applyProtection="1">
      <alignment horizontal="left" vertical="center"/>
      <protection/>
    </xf>
    <xf numFmtId="198" fontId="79" fillId="0" borderId="0" xfId="91" applyNumberFormat="1" applyFont="1" applyFill="1" applyAlignment="1" applyProtection="1">
      <alignment horizontal="right" vertical="center"/>
      <protection/>
    </xf>
    <xf numFmtId="0" fontId="79" fillId="0" borderId="0" xfId="91" applyFont="1" applyFill="1">
      <alignment/>
      <protection/>
    </xf>
    <xf numFmtId="39" fontId="21" fillId="0" borderId="0" xfId="91" applyNumberFormat="1" applyFont="1" applyFill="1" applyAlignment="1" applyProtection="1">
      <alignment horizontal="left" vertical="center"/>
      <protection/>
    </xf>
    <xf numFmtId="200" fontId="79" fillId="0" borderId="0" xfId="24" applyFont="1" applyFill="1" applyAlignment="1" applyProtection="1">
      <alignment horizontal="right" vertical="center"/>
      <protection/>
    </xf>
    <xf numFmtId="202" fontId="79" fillId="0" borderId="0" xfId="24" applyNumberFormat="1" applyFont="1" applyFill="1" applyAlignment="1" applyProtection="1">
      <alignment horizontal="right" vertical="center"/>
      <protection/>
    </xf>
    <xf numFmtId="0" fontId="78" fillId="0" borderId="0" xfId="91" applyFont="1" applyFill="1" applyAlignment="1">
      <alignment horizontal="center"/>
      <protection/>
    </xf>
    <xf numFmtId="3" fontId="21" fillId="0" borderId="0" xfId="91" applyNumberFormat="1" applyFont="1">
      <alignment/>
      <protection/>
    </xf>
    <xf numFmtId="3" fontId="21" fillId="0" borderId="0" xfId="91" applyNumberFormat="1" applyFont="1" applyFill="1">
      <alignment/>
      <protection/>
    </xf>
    <xf numFmtId="4" fontId="21" fillId="0" borderId="0" xfId="91" applyNumberFormat="1" applyFont="1" applyAlignment="1">
      <alignment horizontal="center"/>
      <protection/>
    </xf>
    <xf numFmtId="198" fontId="20" fillId="0" borderId="0" xfId="91" applyNumberFormat="1" applyFont="1" applyFill="1" applyBorder="1" applyAlignment="1" applyProtection="1">
      <alignment horizontal="right" vertical="center"/>
      <protection/>
    </xf>
    <xf numFmtId="198" fontId="21" fillId="0" borderId="0" xfId="91" applyNumberFormat="1" applyFont="1" applyFill="1" applyBorder="1" applyAlignment="1" applyProtection="1">
      <alignment horizontal="right" vertical="center"/>
      <protection/>
    </xf>
    <xf numFmtId="9" fontId="21" fillId="0" borderId="0" xfId="93" applyFont="1" applyAlignment="1">
      <alignment/>
    </xf>
    <xf numFmtId="0" fontId="21" fillId="0" borderId="0" xfId="91" applyFont="1" applyAlignment="1">
      <alignment horizontal="center"/>
      <protection/>
    </xf>
    <xf numFmtId="198" fontId="21" fillId="0" borderId="0" xfId="91" applyNumberFormat="1" applyFont="1" applyFill="1" applyBorder="1">
      <alignment/>
      <protection/>
    </xf>
    <xf numFmtId="43" fontId="21" fillId="0" borderId="0" xfId="91" applyNumberFormat="1" applyFont="1" applyFill="1" applyBorder="1">
      <alignment/>
      <protection/>
    </xf>
    <xf numFmtId="208" fontId="21" fillId="0" borderId="0" xfId="91" applyNumberFormat="1" applyFont="1" applyFill="1" applyBorder="1" applyAlignment="1" applyProtection="1">
      <alignment horizontal="right" vertical="center"/>
      <protection/>
    </xf>
    <xf numFmtId="198" fontId="79" fillId="0" borderId="0" xfId="91" applyNumberFormat="1" applyFont="1" applyFill="1" applyBorder="1" applyAlignment="1" applyProtection="1">
      <alignment horizontal="right" vertical="center"/>
      <protection/>
    </xf>
    <xf numFmtId="39" fontId="20" fillId="0" borderId="0" xfId="91" applyNumberFormat="1" applyFont="1" applyAlignment="1" applyProtection="1">
      <alignment horizontal="left" vertical="center"/>
      <protection/>
    </xf>
    <xf numFmtId="198" fontId="20" fillId="0" borderId="0" xfId="91" applyNumberFormat="1" applyFont="1" applyAlignment="1" applyProtection="1">
      <alignment horizontal="right" vertical="center"/>
      <protection/>
    </xf>
    <xf numFmtId="198" fontId="21" fillId="0" borderId="0" xfId="91" applyNumberFormat="1" applyFont="1" applyAlignment="1" applyProtection="1">
      <alignment horizontal="center" vertical="center"/>
      <protection/>
    </xf>
    <xf numFmtId="198" fontId="21" fillId="0" borderId="0" xfId="91" applyNumberFormat="1" applyFont="1" applyFill="1" applyAlignment="1" applyProtection="1">
      <alignment horizontal="center" vertical="center"/>
      <protection/>
    </xf>
    <xf numFmtId="39" fontId="20" fillId="11" borderId="0" xfId="91" applyNumberFormat="1" applyFont="1" applyFill="1" applyAlignment="1" applyProtection="1">
      <alignment horizontal="left" vertical="center"/>
      <protection/>
    </xf>
    <xf numFmtId="198" fontId="20" fillId="11" borderId="0" xfId="91" applyNumberFormat="1" applyFont="1" applyFill="1" applyAlignment="1" applyProtection="1">
      <alignment horizontal="right" vertical="center"/>
      <protection/>
    </xf>
    <xf numFmtId="202" fontId="21" fillId="0" borderId="0" xfId="91" applyNumberFormat="1" applyFont="1">
      <alignment/>
      <protection/>
    </xf>
    <xf numFmtId="198" fontId="79" fillId="0" borderId="0" xfId="91" applyNumberFormat="1" applyFont="1">
      <alignment/>
      <protection/>
    </xf>
    <xf numFmtId="198" fontId="20" fillId="11" borderId="0" xfId="91" applyNumberFormat="1" applyFont="1" applyFill="1">
      <alignment/>
      <protection/>
    </xf>
    <xf numFmtId="202" fontId="20" fillId="0" borderId="0" xfId="24" applyNumberFormat="1" applyFont="1" applyFill="1" applyAlignment="1">
      <alignment/>
    </xf>
    <xf numFmtId="198" fontId="20" fillId="11" borderId="0" xfId="0" applyNumberFormat="1" applyFont="1" applyFill="1" applyAlignment="1">
      <alignment/>
    </xf>
    <xf numFmtId="198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98" fontId="20" fillId="0" borderId="0" xfId="0" applyNumberFormat="1" applyFont="1" applyFill="1" applyAlignment="1">
      <alignment/>
    </xf>
    <xf numFmtId="200" fontId="20" fillId="0" borderId="30" xfId="24" applyFont="1" applyFill="1" applyBorder="1" applyAlignment="1">
      <alignment/>
    </xf>
    <xf numFmtId="0" fontId="20" fillId="0" borderId="0" xfId="0" applyFont="1" applyFill="1" applyAlignment="1">
      <alignment/>
    </xf>
    <xf numFmtId="200" fontId="20" fillId="0" borderId="0" xfId="24" applyFont="1" applyFill="1" applyBorder="1" applyAlignment="1">
      <alignment/>
    </xf>
    <xf numFmtId="39" fontId="76" fillId="14" borderId="31" xfId="91" applyNumberFormat="1" applyFont="1" applyFill="1" applyBorder="1" applyAlignment="1" applyProtection="1">
      <alignment horizontal="left" vertical="center"/>
      <protection/>
    </xf>
    <xf numFmtId="198" fontId="20" fillId="14" borderId="8" xfId="0" applyNumberFormat="1" applyFont="1" applyFill="1" applyBorder="1" applyAlignment="1">
      <alignment/>
    </xf>
    <xf numFmtId="198" fontId="20" fillId="14" borderId="32" xfId="0" applyNumberFormat="1" applyFont="1" applyFill="1" applyBorder="1" applyAlignment="1">
      <alignment/>
    </xf>
    <xf numFmtId="39" fontId="75" fillId="14" borderId="33" xfId="91" applyNumberFormat="1" applyFont="1" applyFill="1" applyBorder="1" applyAlignment="1" applyProtection="1">
      <alignment horizontal="left" vertical="center"/>
      <protection/>
    </xf>
    <xf numFmtId="39" fontId="20" fillId="14" borderId="0" xfId="91" applyNumberFormat="1" applyFont="1" applyFill="1" applyBorder="1" applyAlignment="1" applyProtection="1">
      <alignment horizontal="center" vertical="center"/>
      <protection/>
    </xf>
    <xf numFmtId="200" fontId="20" fillId="14" borderId="0" xfId="35" applyFont="1" applyFill="1" applyBorder="1" applyAlignment="1" applyProtection="1">
      <alignment horizontal="center" vertical="center"/>
      <protection/>
    </xf>
    <xf numFmtId="200" fontId="75" fillId="14" borderId="0" xfId="35" applyFont="1" applyFill="1" applyBorder="1" applyAlignment="1" applyProtection="1">
      <alignment horizontal="center" vertical="center"/>
      <protection/>
    </xf>
    <xf numFmtId="200" fontId="73" fillId="14" borderId="0" xfId="35" applyFont="1" applyFill="1" applyBorder="1" applyAlignment="1" applyProtection="1">
      <alignment horizontal="center" vertical="center"/>
      <protection/>
    </xf>
    <xf numFmtId="200" fontId="20" fillId="14" borderId="34" xfId="35" applyFont="1" applyFill="1" applyBorder="1" applyAlignment="1" applyProtection="1">
      <alignment horizontal="center" vertical="center"/>
      <protection/>
    </xf>
    <xf numFmtId="39" fontId="21" fillId="14" borderId="33" xfId="91" applyNumberFormat="1" applyFont="1" applyFill="1" applyBorder="1" applyAlignment="1" applyProtection="1">
      <alignment horizontal="left" vertical="center"/>
      <protection/>
    </xf>
    <xf numFmtId="198" fontId="21" fillId="14" borderId="0" xfId="91" applyNumberFormat="1" applyFont="1" applyFill="1" applyBorder="1" applyAlignment="1" applyProtection="1">
      <alignment horizontal="right" vertical="center"/>
      <protection/>
    </xf>
    <xf numFmtId="198" fontId="21" fillId="14" borderId="0" xfId="35" applyNumberFormat="1" applyFont="1" applyFill="1" applyBorder="1" applyAlignment="1" applyProtection="1">
      <alignment horizontal="right" vertical="center"/>
      <protection/>
    </xf>
    <xf numFmtId="198" fontId="21" fillId="14" borderId="34" xfId="35" applyNumberFormat="1" applyFont="1" applyFill="1" applyBorder="1" applyAlignment="1" applyProtection="1">
      <alignment horizontal="right" vertical="center"/>
      <protection/>
    </xf>
    <xf numFmtId="198" fontId="21" fillId="14" borderId="34" xfId="91" applyNumberFormat="1" applyFont="1" applyFill="1" applyBorder="1" applyAlignment="1" applyProtection="1">
      <alignment horizontal="right" vertical="center"/>
      <protection/>
    </xf>
    <xf numFmtId="202" fontId="21" fillId="14" borderId="0" xfId="24" applyNumberFormat="1" applyFont="1" applyFill="1" applyBorder="1" applyAlignment="1">
      <alignment/>
    </xf>
    <xf numFmtId="39" fontId="20" fillId="14" borderId="33" xfId="91" applyNumberFormat="1" applyFont="1" applyFill="1" applyBorder="1" applyAlignment="1" applyProtection="1">
      <alignment horizontal="left" vertical="center"/>
      <protection/>
    </xf>
    <xf numFmtId="198" fontId="20" fillId="14" borderId="0" xfId="91" applyNumberFormat="1" applyFont="1" applyFill="1" applyBorder="1" applyAlignment="1" applyProtection="1">
      <alignment horizontal="right" vertical="center"/>
      <protection/>
    </xf>
    <xf numFmtId="202" fontId="20" fillId="14" borderId="0" xfId="24" applyNumberFormat="1" applyFont="1" applyFill="1" applyBorder="1" applyAlignment="1" applyProtection="1">
      <alignment horizontal="right" vertical="center"/>
      <protection/>
    </xf>
    <xf numFmtId="198" fontId="20" fillId="14" borderId="34" xfId="91" applyNumberFormat="1" applyFont="1" applyFill="1" applyBorder="1" applyAlignment="1" applyProtection="1">
      <alignment horizontal="right" vertical="center"/>
      <protection/>
    </xf>
    <xf numFmtId="198" fontId="20" fillId="14" borderId="0" xfId="0" applyNumberFormat="1" applyFont="1" applyFill="1" applyBorder="1" applyAlignment="1">
      <alignment/>
    </xf>
    <xf numFmtId="198" fontId="20" fillId="14" borderId="34" xfId="0" applyNumberFormat="1" applyFont="1" applyFill="1" applyBorder="1" applyAlignment="1">
      <alignment/>
    </xf>
    <xf numFmtId="3" fontId="21" fillId="14" borderId="0" xfId="91" applyNumberFormat="1" applyFont="1" applyFill="1" applyBorder="1">
      <alignment/>
      <protection/>
    </xf>
    <xf numFmtId="4" fontId="21" fillId="0" borderId="0" xfId="91" applyNumberFormat="1" applyFont="1" applyFill="1" applyAlignment="1">
      <alignment horizontal="center"/>
      <protection/>
    </xf>
    <xf numFmtId="39" fontId="20" fillId="14" borderId="35" xfId="91" applyNumberFormat="1" applyFont="1" applyFill="1" applyBorder="1" applyAlignment="1" applyProtection="1">
      <alignment horizontal="left" vertical="center"/>
      <protection/>
    </xf>
    <xf numFmtId="198" fontId="20" fillId="14" borderId="36" xfId="0" applyNumberFormat="1" applyFont="1" applyFill="1" applyBorder="1" applyAlignment="1">
      <alignment/>
    </xf>
    <xf numFmtId="198" fontId="20" fillId="14" borderId="37" xfId="0" applyNumberFormat="1" applyFont="1" applyFill="1" applyBorder="1" applyAlignment="1">
      <alignment/>
    </xf>
    <xf numFmtId="200" fontId="21" fillId="0" borderId="0" xfId="24" applyFont="1" applyAlignment="1">
      <alignment/>
    </xf>
    <xf numFmtId="0" fontId="20" fillId="0" borderId="0" xfId="0" applyFont="1" applyFill="1" applyBorder="1" applyAlignment="1">
      <alignment/>
    </xf>
    <xf numFmtId="0" fontId="20" fillId="15" borderId="31" xfId="0" applyFont="1" applyFill="1" applyBorder="1" applyAlignment="1">
      <alignment/>
    </xf>
    <xf numFmtId="0" fontId="20" fillId="15" borderId="8" xfId="0" applyFont="1" applyFill="1" applyBorder="1" applyAlignment="1">
      <alignment/>
    </xf>
    <xf numFmtId="198" fontId="20" fillId="15" borderId="32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33" xfId="0" applyFont="1" applyBorder="1" applyAlignment="1">
      <alignment/>
    </xf>
    <xf numFmtId="202" fontId="21" fillId="0" borderId="34" xfId="24" applyNumberFormat="1" applyFont="1" applyFill="1" applyBorder="1" applyAlignment="1">
      <alignment/>
    </xf>
    <xf numFmtId="202" fontId="21" fillId="0" borderId="0" xfId="0" applyNumberFormat="1" applyFont="1" applyAlignment="1">
      <alignment/>
    </xf>
    <xf numFmtId="40" fontId="21" fillId="0" borderId="0" xfId="0" applyNumberFormat="1" applyFont="1" applyAlignment="1">
      <alignment/>
    </xf>
    <xf numFmtId="202" fontId="21" fillId="0" borderId="34" xfId="24" applyNumberFormat="1" applyFont="1" applyBorder="1" applyAlignment="1">
      <alignment/>
    </xf>
    <xf numFmtId="200" fontId="21" fillId="0" borderId="0" xfId="0" applyNumberFormat="1" applyFont="1" applyAlignment="1">
      <alignment/>
    </xf>
    <xf numFmtId="43" fontId="21" fillId="0" borderId="0" xfId="0" applyNumberFormat="1" applyFont="1" applyAlignment="1">
      <alignment/>
    </xf>
    <xf numFmtId="0" fontId="20" fillId="15" borderId="33" xfId="0" applyFont="1" applyFill="1" applyBorder="1" applyAlignment="1">
      <alignment/>
    </xf>
    <xf numFmtId="0" fontId="20" fillId="15" borderId="0" xfId="0" applyFont="1" applyFill="1" applyBorder="1" applyAlignment="1">
      <alignment/>
    </xf>
    <xf numFmtId="202" fontId="20" fillId="15" borderId="34" xfId="0" applyNumberFormat="1" applyFont="1" applyFill="1" applyBorder="1" applyAlignment="1">
      <alignment/>
    </xf>
    <xf numFmtId="198" fontId="21" fillId="0" borderId="0" xfId="0" applyNumberFormat="1" applyFont="1" applyAlignment="1">
      <alignment/>
    </xf>
    <xf numFmtId="0" fontId="77" fillId="0" borderId="0" xfId="0" applyFont="1" applyFill="1" applyBorder="1" applyAlignment="1">
      <alignment/>
    </xf>
    <xf numFmtId="0" fontId="77" fillId="0" borderId="35" xfId="0" applyFont="1" applyBorder="1" applyAlignment="1">
      <alignment/>
    </xf>
    <xf numFmtId="0" fontId="77" fillId="0" borderId="36" xfId="0" applyFont="1" applyFill="1" applyBorder="1" applyAlignment="1">
      <alignment/>
    </xf>
    <xf numFmtId="198" fontId="77" fillId="7" borderId="37" xfId="0" applyNumberFormat="1" applyFont="1" applyFill="1" applyBorder="1" applyAlignment="1">
      <alignment/>
    </xf>
    <xf numFmtId="0" fontId="80" fillId="0" borderId="0" xfId="0" applyFont="1" applyAlignment="1">
      <alignment/>
    </xf>
    <xf numFmtId="0" fontId="21" fillId="10" borderId="0" xfId="0" applyFont="1" applyFill="1" applyAlignment="1">
      <alignment horizontal="center"/>
    </xf>
    <xf numFmtId="0" fontId="20" fillId="1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200" fontId="21" fillId="0" borderId="0" xfId="24" applyFont="1" applyFill="1" applyAlignment="1">
      <alignment/>
    </xf>
    <xf numFmtId="202" fontId="21" fillId="0" borderId="0" xfId="24" applyNumberFormat="1" applyFont="1" applyAlignment="1">
      <alignment/>
    </xf>
    <xf numFmtId="198" fontId="21" fillId="14" borderId="0" xfId="0" applyNumberFormat="1" applyFont="1" applyFill="1" applyAlignment="1">
      <alignment/>
    </xf>
    <xf numFmtId="202" fontId="21" fillId="0" borderId="0" xfId="24" applyNumberFormat="1" applyFont="1" applyFill="1" applyAlignment="1">
      <alignment/>
    </xf>
    <xf numFmtId="0" fontId="81" fillId="0" borderId="0" xfId="0" applyFont="1" applyAlignment="1">
      <alignment/>
    </xf>
    <xf numFmtId="0" fontId="81" fillId="0" borderId="0" xfId="0" applyFont="1" applyAlignment="1">
      <alignment horizontal="center"/>
    </xf>
    <xf numFmtId="202" fontId="82" fillId="0" borderId="0" xfId="24" applyNumberFormat="1" applyFont="1" applyFill="1" applyAlignment="1">
      <alignment horizontal="left"/>
    </xf>
    <xf numFmtId="202" fontId="82" fillId="0" borderId="0" xfId="24" applyNumberFormat="1" applyFont="1" applyAlignment="1">
      <alignment horizontal="left"/>
    </xf>
    <xf numFmtId="202" fontId="82" fillId="0" borderId="0" xfId="0" applyNumberFormat="1" applyFont="1" applyAlignment="1">
      <alignment/>
    </xf>
    <xf numFmtId="198" fontId="82" fillId="0" borderId="0" xfId="0" applyNumberFormat="1" applyFont="1" applyAlignment="1">
      <alignment/>
    </xf>
    <xf numFmtId="198" fontId="82" fillId="7" borderId="0" xfId="0" applyNumberFormat="1" applyFont="1" applyFill="1" applyAlignment="1">
      <alignment/>
    </xf>
    <xf numFmtId="202" fontId="20" fillId="0" borderId="0" xfId="24" applyNumberFormat="1" applyFont="1" applyFill="1" applyAlignment="1">
      <alignment horizontal="left"/>
    </xf>
    <xf numFmtId="202" fontId="20" fillId="0" borderId="0" xfId="24" applyNumberFormat="1" applyFont="1" applyAlignment="1">
      <alignment horizontal="left"/>
    </xf>
    <xf numFmtId="202" fontId="20" fillId="0" borderId="0" xfId="0" applyNumberFormat="1" applyFont="1" applyAlignment="1">
      <alignment/>
    </xf>
    <xf numFmtId="198" fontId="20" fillId="0" borderId="0" xfId="0" applyNumberFormat="1" applyFont="1" applyAlignment="1">
      <alignment/>
    </xf>
    <xf numFmtId="0" fontId="20" fillId="0" borderId="0" xfId="0" applyFont="1" applyFill="1" applyAlignment="1">
      <alignment horizontal="center"/>
    </xf>
    <xf numFmtId="202" fontId="4" fillId="0" borderId="18" xfId="0" applyNumberFormat="1" applyFont="1" applyFill="1" applyBorder="1" applyAlignment="1">
      <alignment horizontal="center"/>
    </xf>
    <xf numFmtId="202" fontId="4" fillId="0" borderId="9" xfId="0" applyNumberFormat="1" applyFont="1" applyFill="1" applyBorder="1" applyAlignment="1">
      <alignment horizontal="center"/>
    </xf>
    <xf numFmtId="198" fontId="7" fillId="2" borderId="10" xfId="0" applyNumberFormat="1" applyFont="1" applyFill="1" applyBorder="1" applyAlignment="1">
      <alignment/>
    </xf>
    <xf numFmtId="198" fontId="4" fillId="2" borderId="10" xfId="0" applyNumberFormat="1" applyFont="1" applyFill="1" applyBorder="1" applyAlignment="1">
      <alignment/>
    </xf>
    <xf numFmtId="198" fontId="4" fillId="2" borderId="7" xfId="0" applyNumberFormat="1" applyFont="1" applyFill="1" applyBorder="1" applyAlignment="1">
      <alignment/>
    </xf>
    <xf numFmtId="198" fontId="4" fillId="2" borderId="13" xfId="0" applyNumberFormat="1" applyFont="1" applyFill="1" applyBorder="1" applyAlignment="1">
      <alignment/>
    </xf>
    <xf numFmtId="198" fontId="4" fillId="0" borderId="0" xfId="0" applyNumberFormat="1" applyFont="1" applyFill="1" applyBorder="1" applyAlignment="1">
      <alignment/>
    </xf>
    <xf numFmtId="211" fontId="4" fillId="0" borderId="0" xfId="93" applyNumberFormat="1" applyFont="1" applyFill="1" applyBorder="1" applyAlignment="1">
      <alignment/>
    </xf>
    <xf numFmtId="15" fontId="7" fillId="2" borderId="5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98" fontId="4" fillId="0" borderId="3" xfId="0" applyNumberFormat="1" applyFont="1" applyBorder="1" applyAlignment="1">
      <alignment/>
    </xf>
    <xf numFmtId="198" fontId="4" fillId="0" borderId="18" xfId="24" applyNumberFormat="1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15" fontId="7" fillId="2" borderId="25" xfId="0" applyNumberFormat="1" applyFont="1" applyFill="1" applyBorder="1" applyAlignment="1">
      <alignment horizontal="center"/>
    </xf>
    <xf numFmtId="15" fontId="7" fillId="2" borderId="23" xfId="0" applyNumberFormat="1" applyFont="1" applyFill="1" applyBorder="1" applyAlignment="1">
      <alignment horizontal="center"/>
    </xf>
    <xf numFmtId="198" fontId="25" fillId="0" borderId="10" xfId="0" applyNumberFormat="1" applyFont="1" applyFill="1" applyBorder="1" applyAlignment="1">
      <alignment horizontal="right"/>
    </xf>
    <xf numFmtId="198" fontId="4" fillId="0" borderId="0" xfId="24" applyNumberFormat="1" applyFont="1" applyFill="1" applyBorder="1" applyAlignment="1">
      <alignment horizontal="right"/>
    </xf>
    <xf numFmtId="198" fontId="8" fillId="0" borderId="9" xfId="24" applyNumberFormat="1" applyFont="1" applyFill="1" applyBorder="1" applyAlignment="1">
      <alignment horizontal="right"/>
    </xf>
    <xf numFmtId="198" fontId="25" fillId="0" borderId="21" xfId="24" applyNumberFormat="1" applyFont="1" applyFill="1" applyBorder="1" applyAlignment="1">
      <alignment horizontal="right"/>
    </xf>
    <xf numFmtId="198" fontId="26" fillId="0" borderId="10" xfId="24" applyNumberFormat="1" applyFont="1" applyFill="1" applyBorder="1" applyAlignment="1">
      <alignment horizontal="right"/>
    </xf>
    <xf numFmtId="198" fontId="26" fillId="0" borderId="18" xfId="24" applyNumberFormat="1" applyFont="1" applyFill="1" applyBorder="1" applyAlignment="1">
      <alignment horizontal="right"/>
    </xf>
    <xf numFmtId="198" fontId="26" fillId="0" borderId="21" xfId="24" applyNumberFormat="1" applyFont="1" applyFill="1" applyBorder="1" applyAlignment="1">
      <alignment horizontal="right"/>
    </xf>
    <xf numFmtId="198" fontId="5" fillId="0" borderId="21" xfId="24" applyNumberFormat="1" applyFont="1" applyFill="1" applyBorder="1" applyAlignment="1">
      <alignment horizontal="right"/>
    </xf>
    <xf numFmtId="198" fontId="4" fillId="0" borderId="21" xfId="0" applyNumberFormat="1" applyFont="1" applyFill="1" applyBorder="1" applyAlignment="1">
      <alignment horizontal="right"/>
    </xf>
    <xf numFmtId="198" fontId="4" fillId="0" borderId="25" xfId="0" applyNumberFormat="1" applyFont="1" applyFill="1" applyBorder="1" applyAlignment="1">
      <alignment horizontal="right"/>
    </xf>
    <xf numFmtId="198" fontId="5" fillId="0" borderId="5" xfId="24" applyNumberFormat="1" applyFont="1" applyFill="1" applyBorder="1" applyAlignment="1">
      <alignment/>
    </xf>
    <xf numFmtId="198" fontId="26" fillId="0" borderId="5" xfId="24" applyNumberFormat="1" applyFont="1" applyFill="1" applyBorder="1" applyAlignment="1">
      <alignment/>
    </xf>
    <xf numFmtId="198" fontId="26" fillId="0" borderId="15" xfId="24" applyNumberFormat="1" applyFont="1" applyFill="1" applyBorder="1" applyAlignment="1">
      <alignment/>
    </xf>
    <xf numFmtId="198" fontId="5" fillId="0" borderId="14" xfId="0" applyNumberFormat="1" applyFont="1" applyFill="1" applyBorder="1" applyAlignment="1">
      <alignment/>
    </xf>
    <xf numFmtId="198" fontId="5" fillId="0" borderId="15" xfId="24" applyNumberFormat="1" applyFont="1" applyFill="1" applyBorder="1" applyAlignment="1">
      <alignment/>
    </xf>
    <xf numFmtId="198" fontId="5" fillId="0" borderId="30" xfId="0" applyNumberFormat="1" applyFont="1" applyFill="1" applyBorder="1" applyAlignment="1">
      <alignment/>
    </xf>
    <xf numFmtId="198" fontId="5" fillId="0" borderId="3" xfId="24" applyNumberFormat="1" applyFont="1" applyFill="1" applyBorder="1" applyAlignment="1">
      <alignment/>
    </xf>
    <xf numFmtId="198" fontId="5" fillId="0" borderId="14" xfId="24" applyNumberFormat="1" applyFont="1" applyFill="1" applyBorder="1" applyAlignment="1">
      <alignment/>
    </xf>
    <xf numFmtId="198" fontId="4" fillId="0" borderId="0" xfId="0" applyNumberFormat="1" applyFont="1" applyFill="1" applyBorder="1" applyAlignment="1">
      <alignment horizontal="right"/>
    </xf>
    <xf numFmtId="198" fontId="4" fillId="0" borderId="1" xfId="24" applyNumberFormat="1" applyFont="1" applyBorder="1" applyAlignment="1">
      <alignment horizontal="right"/>
    </xf>
    <xf numFmtId="198" fontId="4" fillId="0" borderId="25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198" fontId="4" fillId="0" borderId="12" xfId="0" applyNumberFormat="1" applyFont="1" applyFill="1" applyBorder="1" applyAlignment="1">
      <alignment horizontal="right"/>
    </xf>
    <xf numFmtId="198" fontId="4" fillId="0" borderId="20" xfId="24" applyNumberFormat="1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center" wrapText="1"/>
    </xf>
    <xf numFmtId="198" fontId="7" fillId="2" borderId="13" xfId="0" applyNumberFormat="1" applyFont="1" applyFill="1" applyBorder="1" applyAlignment="1">
      <alignment/>
    </xf>
    <xf numFmtId="9" fontId="4" fillId="0" borderId="0" xfId="93" applyFont="1" applyFill="1" applyAlignment="1">
      <alignment horizontal="center"/>
    </xf>
    <xf numFmtId="0" fontId="5" fillId="2" borderId="20" xfId="0" applyFont="1" applyFill="1" applyBorder="1" applyAlignment="1">
      <alignment horizontal="center"/>
    </xf>
    <xf numFmtId="200" fontId="4" fillId="2" borderId="10" xfId="24" applyFont="1" applyFill="1" applyBorder="1" applyAlignment="1">
      <alignment/>
    </xf>
    <xf numFmtId="200" fontId="4" fillId="2" borderId="12" xfId="24" applyFont="1" applyFill="1" applyBorder="1" applyAlignment="1">
      <alignment/>
    </xf>
    <xf numFmtId="15" fontId="5" fillId="2" borderId="23" xfId="0" applyNumberFormat="1" applyFont="1" applyFill="1" applyBorder="1" applyAlignment="1">
      <alignment horizontal="center"/>
    </xf>
    <xf numFmtId="15" fontId="5" fillId="2" borderId="18" xfId="0" applyNumberFormat="1" applyFont="1" applyFill="1" applyBorder="1" applyAlignment="1">
      <alignment horizontal="center"/>
    </xf>
    <xf numFmtId="15" fontId="5" fillId="2" borderId="7" xfId="0" applyNumberFormat="1" applyFont="1" applyFill="1" applyBorder="1" applyAlignment="1">
      <alignment horizontal="center"/>
    </xf>
    <xf numFmtId="198" fontId="5" fillId="0" borderId="7" xfId="0" applyNumberFormat="1" applyFont="1" applyBorder="1" applyAlignment="1">
      <alignment/>
    </xf>
    <xf numFmtId="198" fontId="5" fillId="2" borderId="7" xfId="24" applyNumberFormat="1" applyFont="1" applyFill="1" applyBorder="1" applyAlignment="1">
      <alignment/>
    </xf>
    <xf numFmtId="198" fontId="4" fillId="0" borderId="0" xfId="0" applyNumberFormat="1" applyFont="1" applyFill="1" applyBorder="1" applyAlignment="1">
      <alignment horizontal="center"/>
    </xf>
    <xf numFmtId="9" fontId="25" fillId="0" borderId="10" xfId="93" applyFont="1" applyFill="1" applyBorder="1" applyAlignment="1">
      <alignment horizontal="right"/>
    </xf>
    <xf numFmtId="9" fontId="25" fillId="0" borderId="10" xfId="93" applyFont="1" applyBorder="1" applyAlignment="1">
      <alignment horizontal="right" wrapText="1"/>
    </xf>
    <xf numFmtId="9" fontId="4" fillId="0" borderId="10" xfId="93" applyFont="1" applyBorder="1" applyAlignment="1">
      <alignment horizontal="right" wrapText="1"/>
    </xf>
    <xf numFmtId="0" fontId="4" fillId="0" borderId="19" xfId="0" applyFont="1" applyBorder="1" applyAlignment="1">
      <alignment horizontal="center"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83" fillId="0" borderId="0" xfId="0" applyFont="1" applyAlignment="1">
      <alignment/>
    </xf>
    <xf numFmtId="14" fontId="17" fillId="0" borderId="0" xfId="0" applyNumberFormat="1" applyFont="1" applyAlignment="1" quotePrefix="1">
      <alignment horizontal="left"/>
    </xf>
    <xf numFmtId="14" fontId="5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9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5" fillId="10" borderId="26" xfId="0" applyFont="1" applyFill="1" applyBorder="1" applyAlignment="1">
      <alignment horizontal="center"/>
    </xf>
    <xf numFmtId="0" fontId="5" fillId="10" borderId="9" xfId="0" applyFont="1" applyFill="1" applyBorder="1" applyAlignment="1">
      <alignment horizontal="center"/>
    </xf>
    <xf numFmtId="0" fontId="83" fillId="10" borderId="17" xfId="0" applyFont="1" applyFill="1" applyBorder="1" applyAlignment="1">
      <alignment/>
    </xf>
    <xf numFmtId="0" fontId="5" fillId="10" borderId="38" xfId="0" applyFont="1" applyFill="1" applyBorder="1" applyAlignment="1">
      <alignment horizontal="center"/>
    </xf>
    <xf numFmtId="0" fontId="5" fillId="10" borderId="18" xfId="0" applyFont="1" applyFill="1" applyBorder="1" applyAlignment="1">
      <alignment horizontal="center"/>
    </xf>
    <xf numFmtId="200" fontId="5" fillId="10" borderId="7" xfId="24" applyFont="1" applyFill="1" applyBorder="1" applyAlignment="1">
      <alignment horizontal="center"/>
    </xf>
    <xf numFmtId="0" fontId="84" fillId="10" borderId="18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200" fontId="4" fillId="0" borderId="17" xfId="24" applyFont="1" applyBorder="1" applyAlignment="1">
      <alignment horizontal="center"/>
    </xf>
    <xf numFmtId="200" fontId="4" fillId="0" borderId="19" xfId="24" applyFont="1" applyBorder="1" applyAlignment="1">
      <alignment horizontal="center"/>
    </xf>
    <xf numFmtId="0" fontId="83" fillId="0" borderId="17" xfId="0" applyFont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wrapText="1"/>
    </xf>
    <xf numFmtId="200" fontId="4" fillId="0" borderId="9" xfId="24" applyFont="1" applyFill="1" applyBorder="1" applyAlignment="1">
      <alignment horizontal="center"/>
    </xf>
    <xf numFmtId="0" fontId="83" fillId="0" borderId="9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left" wrapText="1"/>
    </xf>
    <xf numFmtId="49" fontId="4" fillId="0" borderId="9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85" fillId="0" borderId="12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200" fontId="4" fillId="0" borderId="18" xfId="24" applyFont="1" applyFill="1" applyBorder="1" applyAlignment="1">
      <alignment/>
    </xf>
    <xf numFmtId="200" fontId="4" fillId="0" borderId="21" xfId="24" applyFont="1" applyFill="1" applyBorder="1" applyAlignment="1">
      <alignment/>
    </xf>
    <xf numFmtId="0" fontId="4" fillId="0" borderId="26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85" fillId="0" borderId="9" xfId="0" applyFont="1" applyFill="1" applyBorder="1" applyAlignment="1">
      <alignment horizontal="left"/>
    </xf>
    <xf numFmtId="0" fontId="4" fillId="0" borderId="38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83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200" fontId="4" fillId="0" borderId="17" xfId="24" applyFont="1" applyFill="1" applyBorder="1" applyAlignment="1">
      <alignment/>
    </xf>
    <xf numFmtId="0" fontId="83" fillId="0" borderId="18" xfId="0" applyFont="1" applyBorder="1" applyAlignment="1">
      <alignment/>
    </xf>
    <xf numFmtId="43" fontId="4" fillId="0" borderId="0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200" fontId="5" fillId="0" borderId="7" xfId="24" applyFont="1" applyBorder="1" applyAlignment="1">
      <alignment/>
    </xf>
    <xf numFmtId="200" fontId="83" fillId="0" borderId="7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200" fontId="5" fillId="0" borderId="0" xfId="24" applyFont="1" applyBorder="1" applyAlignment="1">
      <alignment/>
    </xf>
    <xf numFmtId="200" fontId="83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200" fontId="4" fillId="0" borderId="0" xfId="24" applyFont="1" applyAlignment="1">
      <alignment horizontal="right"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NumberFormat="1" applyFont="1" applyFill="1" applyBorder="1" applyAlignment="1">
      <alignment wrapText="1"/>
    </xf>
    <xf numFmtId="49" fontId="4" fillId="0" borderId="9" xfId="0" applyNumberFormat="1" applyFont="1" applyBorder="1" applyAlignment="1">
      <alignment horizontal="left"/>
    </xf>
    <xf numFmtId="210" fontId="86" fillId="0" borderId="0" xfId="0" applyNumberFormat="1" applyFont="1" applyAlignment="1">
      <alignment vertical="center"/>
    </xf>
    <xf numFmtId="210" fontId="87" fillId="0" borderId="0" xfId="0" applyNumberFormat="1" applyFont="1" applyAlignment="1">
      <alignment vertical="center"/>
    </xf>
    <xf numFmtId="210" fontId="87" fillId="0" borderId="0" xfId="0" applyNumberFormat="1" applyFont="1" applyAlignment="1">
      <alignment horizontal="center" vertical="center"/>
    </xf>
    <xf numFmtId="198" fontId="87" fillId="0" borderId="0" xfId="0" applyNumberFormat="1" applyFont="1" applyAlignment="1">
      <alignment horizontal="right" vertical="center"/>
    </xf>
    <xf numFmtId="210" fontId="87" fillId="0" borderId="0" xfId="0" applyNumberFormat="1" applyFont="1" applyAlignment="1">
      <alignment horizontal="right" vertical="center"/>
    </xf>
    <xf numFmtId="210" fontId="86" fillId="0" borderId="25" xfId="0" applyNumberFormat="1" applyFont="1" applyBorder="1" applyAlignment="1">
      <alignment vertical="center"/>
    </xf>
    <xf numFmtId="210" fontId="87" fillId="0" borderId="25" xfId="0" applyNumberFormat="1" applyFont="1" applyBorder="1" applyAlignment="1">
      <alignment vertical="center"/>
    </xf>
    <xf numFmtId="210" fontId="87" fillId="0" borderId="25" xfId="0" applyNumberFormat="1" applyFont="1" applyBorder="1" applyAlignment="1">
      <alignment horizontal="center" vertical="center"/>
    </xf>
    <xf numFmtId="198" fontId="87" fillId="0" borderId="25" xfId="0" applyNumberFormat="1" applyFont="1" applyBorder="1" applyAlignment="1">
      <alignment horizontal="right" vertical="center"/>
    </xf>
    <xf numFmtId="210" fontId="87" fillId="0" borderId="25" xfId="0" applyNumberFormat="1" applyFont="1" applyBorder="1" applyAlignment="1">
      <alignment horizontal="right" vertical="center"/>
    </xf>
    <xf numFmtId="210" fontId="86" fillId="0" borderId="0" xfId="0" applyNumberFormat="1" applyFont="1" applyBorder="1" applyAlignment="1">
      <alignment vertical="center"/>
    </xf>
    <xf numFmtId="210" fontId="87" fillId="0" borderId="0" xfId="0" applyNumberFormat="1" applyFont="1" applyBorder="1" applyAlignment="1">
      <alignment vertical="center"/>
    </xf>
    <xf numFmtId="210" fontId="87" fillId="0" borderId="0" xfId="0" applyNumberFormat="1" applyFont="1" applyBorder="1" applyAlignment="1">
      <alignment horizontal="center" vertical="center"/>
    </xf>
    <xf numFmtId="198" fontId="87" fillId="0" borderId="0" xfId="0" applyNumberFormat="1" applyFont="1" applyBorder="1" applyAlignment="1">
      <alignment horizontal="right" vertical="center"/>
    </xf>
    <xf numFmtId="210" fontId="87" fillId="0" borderId="0" xfId="0" applyNumberFormat="1" applyFont="1" applyBorder="1" applyAlignment="1">
      <alignment horizontal="right" vertical="center"/>
    </xf>
    <xf numFmtId="198" fontId="86" fillId="0" borderId="0" xfId="0" applyNumberFormat="1" applyFont="1" applyAlignment="1">
      <alignment horizontal="right" vertical="center"/>
    </xf>
    <xf numFmtId="210" fontId="86" fillId="0" borderId="0" xfId="0" applyNumberFormat="1" applyFont="1" applyAlignment="1">
      <alignment horizontal="right" vertical="center"/>
    </xf>
    <xf numFmtId="198" fontId="86" fillId="0" borderId="0" xfId="0" applyNumberFormat="1" applyFont="1" applyAlignment="1" quotePrefix="1">
      <alignment horizontal="right" vertical="center"/>
    </xf>
    <xf numFmtId="210" fontId="86" fillId="0" borderId="0" xfId="0" applyNumberFormat="1" applyFont="1" applyAlignment="1">
      <alignment horizontal="center" vertical="center"/>
    </xf>
    <xf numFmtId="210" fontId="86" fillId="0" borderId="25" xfId="0" applyNumberFormat="1" applyFont="1" applyBorder="1" applyAlignment="1">
      <alignment horizontal="center" vertical="center"/>
    </xf>
    <xf numFmtId="198" fontId="86" fillId="0" borderId="25" xfId="0" applyNumberFormat="1" applyFont="1" applyBorder="1" applyAlignment="1">
      <alignment horizontal="right" vertical="center"/>
    </xf>
    <xf numFmtId="198" fontId="87" fillId="0" borderId="3" xfId="0" applyNumberFormat="1" applyFont="1" applyBorder="1" applyAlignment="1">
      <alignment horizontal="right" vertical="center"/>
    </xf>
    <xf numFmtId="198" fontId="87" fillId="0" borderId="27" xfId="0" applyNumberFormat="1" applyFont="1" applyBorder="1" applyAlignment="1">
      <alignment horizontal="right" vertical="center"/>
    </xf>
    <xf numFmtId="198" fontId="87" fillId="0" borderId="25" xfId="0" applyNumberFormat="1" applyFont="1" applyBorder="1" applyAlignment="1">
      <alignment horizontal="center" vertical="center"/>
    </xf>
    <xf numFmtId="198" fontId="87" fillId="0" borderId="3" xfId="0" applyNumberFormat="1" applyFont="1" applyBorder="1" applyAlignment="1">
      <alignment vertical="center"/>
    </xf>
    <xf numFmtId="198" fontId="87" fillId="0" borderId="0" xfId="0" applyNumberFormat="1" applyFont="1" applyBorder="1" applyAlignment="1">
      <alignment vertical="center"/>
    </xf>
    <xf numFmtId="204" fontId="87" fillId="0" borderId="27" xfId="0" applyNumberFormat="1" applyFont="1" applyBorder="1" applyAlignment="1">
      <alignment horizontal="right" vertical="center"/>
    </xf>
    <xf numFmtId="210" fontId="86" fillId="0" borderId="0" xfId="0" applyNumberFormat="1" applyFont="1" applyAlignment="1">
      <alignment/>
    </xf>
    <xf numFmtId="210" fontId="86" fillId="0" borderId="0" xfId="0" applyNumberFormat="1" applyFont="1" applyAlignment="1">
      <alignment horizontal="center"/>
    </xf>
    <xf numFmtId="198" fontId="86" fillId="0" borderId="0" xfId="0" applyNumberFormat="1" applyFont="1" applyAlignment="1">
      <alignment horizontal="right"/>
    </xf>
    <xf numFmtId="210" fontId="86" fillId="0" borderId="0" xfId="0" applyNumberFormat="1" applyFont="1" applyAlignment="1">
      <alignment horizontal="right"/>
    </xf>
    <xf numFmtId="210" fontId="86" fillId="0" borderId="25" xfId="0" applyNumberFormat="1" applyFont="1" applyBorder="1" applyAlignment="1">
      <alignment/>
    </xf>
    <xf numFmtId="210" fontId="86" fillId="0" borderId="25" xfId="0" applyNumberFormat="1" applyFont="1" applyBorder="1" applyAlignment="1">
      <alignment horizontal="center"/>
    </xf>
    <xf numFmtId="198" fontId="86" fillId="0" borderId="25" xfId="0" applyNumberFormat="1" applyFont="1" applyBorder="1" applyAlignment="1">
      <alignment horizontal="right"/>
    </xf>
    <xf numFmtId="210" fontId="86" fillId="0" borderId="25" xfId="0" applyNumberFormat="1" applyFont="1" applyBorder="1" applyAlignment="1">
      <alignment horizontal="right"/>
    </xf>
    <xf numFmtId="198" fontId="86" fillId="0" borderId="0" xfId="0" applyNumberFormat="1" applyFont="1" applyAlignment="1">
      <alignment/>
    </xf>
    <xf numFmtId="198" fontId="86" fillId="0" borderId="0" xfId="0" applyNumberFormat="1" applyFont="1" applyBorder="1" applyAlignment="1">
      <alignment horizontal="right"/>
    </xf>
    <xf numFmtId="210" fontId="86" fillId="0" borderId="0" xfId="0" applyNumberFormat="1" applyFont="1" applyBorder="1" applyAlignment="1">
      <alignment/>
    </xf>
    <xf numFmtId="210" fontId="86" fillId="0" borderId="0" xfId="0" applyNumberFormat="1" applyFont="1" applyBorder="1" applyAlignment="1">
      <alignment horizontal="right"/>
    </xf>
    <xf numFmtId="210" fontId="86" fillId="0" borderId="0" xfId="0" applyNumberFormat="1" applyFont="1" applyBorder="1" applyAlignment="1" quotePrefix="1">
      <alignment/>
    </xf>
    <xf numFmtId="210" fontId="87" fillId="0" borderId="0" xfId="0" applyNumberFormat="1" applyFont="1" applyBorder="1" applyAlignment="1">
      <alignment/>
    </xf>
    <xf numFmtId="210" fontId="87" fillId="0" borderId="0" xfId="0" applyNumberFormat="1" applyFont="1" applyBorder="1" applyAlignment="1">
      <alignment horizontal="center"/>
    </xf>
    <xf numFmtId="198" fontId="87" fillId="0" borderId="0" xfId="0" applyNumberFormat="1" applyFont="1" applyBorder="1" applyAlignment="1">
      <alignment horizontal="right"/>
    </xf>
    <xf numFmtId="210" fontId="87" fillId="0" borderId="0" xfId="0" applyNumberFormat="1" applyFont="1" applyBorder="1" applyAlignment="1">
      <alignment horizontal="right"/>
    </xf>
    <xf numFmtId="198" fontId="87" fillId="0" borderId="0" xfId="0" applyNumberFormat="1" applyFont="1" applyAlignment="1">
      <alignment horizontal="right"/>
    </xf>
    <xf numFmtId="210" fontId="87" fillId="0" borderId="0" xfId="0" applyNumberFormat="1" applyFont="1" applyAlignment="1">
      <alignment/>
    </xf>
    <xf numFmtId="198" fontId="87" fillId="0" borderId="25" xfId="0" applyNumberFormat="1" applyFont="1" applyBorder="1" applyAlignment="1">
      <alignment horizontal="center"/>
    </xf>
    <xf numFmtId="198" fontId="87" fillId="0" borderId="25" xfId="0" applyNumberFormat="1" applyFont="1" applyBorder="1" applyAlignment="1">
      <alignment horizontal="right"/>
    </xf>
    <xf numFmtId="198" fontId="87" fillId="0" borderId="27" xfId="0" applyNumberFormat="1" applyFont="1" applyBorder="1" applyAlignment="1">
      <alignment horizontal="right"/>
    </xf>
    <xf numFmtId="198" fontId="86" fillId="0" borderId="0" xfId="0" applyNumberFormat="1" applyFont="1" applyAlignment="1" quotePrefix="1">
      <alignment horizontal="right"/>
    </xf>
    <xf numFmtId="210" fontId="87" fillId="0" borderId="0" xfId="0" applyNumberFormat="1" applyFont="1" applyAlignment="1">
      <alignment horizontal="center"/>
    </xf>
    <xf numFmtId="210" fontId="87" fillId="0" borderId="0" xfId="0" applyNumberFormat="1" applyFont="1" applyAlignment="1">
      <alignment horizontal="right"/>
    </xf>
    <xf numFmtId="210" fontId="87" fillId="0" borderId="25" xfId="0" applyNumberFormat="1" applyFont="1" applyBorder="1" applyAlignment="1">
      <alignment/>
    </xf>
    <xf numFmtId="210" fontId="87" fillId="0" borderId="25" xfId="0" applyNumberFormat="1" applyFont="1" applyBorder="1" applyAlignment="1">
      <alignment horizontal="center"/>
    </xf>
    <xf numFmtId="210" fontId="87" fillId="0" borderId="25" xfId="0" applyNumberFormat="1" applyFont="1" applyBorder="1" applyAlignment="1">
      <alignment horizontal="right"/>
    </xf>
    <xf numFmtId="198" fontId="5" fillId="0" borderId="0" xfId="0" applyNumberFormat="1" applyFont="1" applyAlignment="1">
      <alignment/>
    </xf>
    <xf numFmtId="198" fontId="25" fillId="9" borderId="10" xfId="24" applyNumberFormat="1" applyFont="1" applyFill="1" applyBorder="1" applyAlignment="1">
      <alignment horizontal="right"/>
    </xf>
    <xf numFmtId="4" fontId="38" fillId="0" borderId="0" xfId="92" applyNumberFormat="1" applyFont="1" applyAlignment="1">
      <alignment vertical="center"/>
      <protection/>
    </xf>
    <xf numFmtId="0" fontId="1" fillId="0" borderId="0" xfId="92" applyFont="1" applyAlignment="1">
      <alignment vertical="center"/>
      <protection/>
    </xf>
    <xf numFmtId="40" fontId="36" fillId="0" borderId="0" xfId="36" applyNumberFormat="1" applyFont="1" applyAlignment="1">
      <alignment vertical="center"/>
    </xf>
    <xf numFmtId="40" fontId="88" fillId="0" borderId="0" xfId="36" applyNumberFormat="1" applyFont="1" applyAlignment="1">
      <alignment vertical="center"/>
    </xf>
    <xf numFmtId="0" fontId="38" fillId="0" borderId="0" xfId="92" applyFont="1" applyAlignment="1">
      <alignment vertical="center"/>
      <protection/>
    </xf>
    <xf numFmtId="40" fontId="70" fillId="0" borderId="0" xfId="36" applyNumberFormat="1" applyFont="1" applyAlignment="1">
      <alignment horizontal="center" vertical="center"/>
    </xf>
    <xf numFmtId="0" fontId="1" fillId="6" borderId="0" xfId="92" applyFont="1" applyFill="1" applyAlignment="1">
      <alignment vertical="center"/>
      <protection/>
    </xf>
    <xf numFmtId="40" fontId="89" fillId="6" borderId="0" xfId="36" applyNumberFormat="1" applyFont="1" applyFill="1" applyAlignment="1">
      <alignment horizontal="center" vertical="center"/>
    </xf>
    <xf numFmtId="40" fontId="90" fillId="6" borderId="0" xfId="36" applyNumberFormat="1" applyFont="1" applyFill="1" applyAlignment="1">
      <alignment horizontal="center" vertical="center"/>
    </xf>
    <xf numFmtId="0" fontId="91" fillId="0" borderId="0" xfId="92" applyFont="1" applyAlignment="1">
      <alignment vertical="center"/>
      <protection/>
    </xf>
    <xf numFmtId="40" fontId="36" fillId="0" borderId="0" xfId="36" applyNumberFormat="1" applyFont="1" applyFill="1" applyAlignment="1">
      <alignment vertical="center"/>
    </xf>
    <xf numFmtId="40" fontId="88" fillId="0" borderId="0" xfId="36" applyNumberFormat="1" applyFont="1" applyFill="1" applyAlignment="1">
      <alignment vertical="center"/>
    </xf>
    <xf numFmtId="0" fontId="1" fillId="0" borderId="0" xfId="92" applyAlignment="1">
      <alignment vertical="center"/>
      <protection/>
    </xf>
    <xf numFmtId="0" fontId="35" fillId="0" borderId="0" xfId="92" applyFont="1" applyAlignment="1">
      <alignment vertical="center"/>
      <protection/>
    </xf>
    <xf numFmtId="0" fontId="1" fillId="0" borderId="0" xfId="92" applyFont="1" applyFill="1" applyAlignment="1">
      <alignment vertical="center"/>
      <protection/>
    </xf>
    <xf numFmtId="0" fontId="1" fillId="0" borderId="0" xfId="92" applyFont="1" applyFill="1" applyAlignment="1">
      <alignment horizontal="left" vertical="center"/>
      <protection/>
    </xf>
    <xf numFmtId="0" fontId="35" fillId="0" borderId="0" xfId="92" applyFont="1" applyAlignment="1">
      <alignment horizontal="left" vertical="center"/>
      <protection/>
    </xf>
    <xf numFmtId="40" fontId="36" fillId="0" borderId="3" xfId="36" applyNumberFormat="1" applyFont="1" applyFill="1" applyBorder="1" applyAlignment="1">
      <alignment vertical="center"/>
    </xf>
    <xf numFmtId="40" fontId="88" fillId="0" borderId="3" xfId="36" applyNumberFormat="1" applyFont="1" applyFill="1" applyBorder="1" applyAlignment="1">
      <alignment vertical="center"/>
    </xf>
    <xf numFmtId="40" fontId="92" fillId="0" borderId="0" xfId="36" applyNumberFormat="1" applyFont="1" applyAlignment="1">
      <alignment vertical="center"/>
    </xf>
    <xf numFmtId="40" fontId="1" fillId="0" borderId="3" xfId="36" applyNumberFormat="1" applyFont="1" applyFill="1" applyBorder="1" applyAlignment="1">
      <alignment vertical="center"/>
    </xf>
    <xf numFmtId="0" fontId="1" fillId="0" borderId="0" xfId="92" applyFont="1" applyAlignment="1">
      <alignment horizontal="left" vertical="center"/>
      <protection/>
    </xf>
    <xf numFmtId="0" fontId="93" fillId="0" borderId="0" xfId="92" applyFont="1" applyAlignment="1">
      <alignment vertical="center"/>
      <protection/>
    </xf>
    <xf numFmtId="40" fontId="36" fillId="0" borderId="30" xfId="36" applyNumberFormat="1" applyFont="1" applyFill="1" applyBorder="1" applyAlignment="1">
      <alignment vertical="center"/>
    </xf>
    <xf numFmtId="40" fontId="88" fillId="0" borderId="30" xfId="36" applyNumberFormat="1" applyFont="1" applyFill="1" applyBorder="1" applyAlignment="1">
      <alignment vertical="center"/>
    </xf>
    <xf numFmtId="40" fontId="89" fillId="0" borderId="30" xfId="36" applyNumberFormat="1" applyFont="1" applyBorder="1" applyAlignment="1">
      <alignment vertical="center"/>
    </xf>
    <xf numFmtId="40" fontId="90" fillId="0" borderId="30" xfId="36" applyNumberFormat="1" applyFont="1" applyBorder="1" applyAlignment="1">
      <alignment vertical="center"/>
    </xf>
    <xf numFmtId="0" fontId="35" fillId="0" borderId="0" xfId="92" applyFont="1" applyAlignment="1">
      <alignment horizontal="center" vertical="center"/>
      <protection/>
    </xf>
    <xf numFmtId="0" fontId="94" fillId="7" borderId="0" xfId="92" applyFont="1" applyFill="1" applyAlignment="1">
      <alignment vertical="center"/>
      <protection/>
    </xf>
    <xf numFmtId="0" fontId="70" fillId="7" borderId="0" xfId="92" applyFont="1" applyFill="1" applyAlignment="1">
      <alignment horizontal="center" vertical="center"/>
      <protection/>
    </xf>
    <xf numFmtId="40" fontId="89" fillId="7" borderId="0" xfId="36" applyNumberFormat="1" applyFont="1" applyFill="1" applyAlignment="1">
      <alignment vertical="center"/>
    </xf>
    <xf numFmtId="40" fontId="90" fillId="7" borderId="0" xfId="36" applyNumberFormat="1" applyFont="1" applyFill="1" applyAlignment="1">
      <alignment vertical="center"/>
    </xf>
    <xf numFmtId="40" fontId="36" fillId="0" borderId="41" xfId="36" applyNumberFormat="1" applyFont="1" applyBorder="1" applyAlignment="1">
      <alignment vertical="center"/>
    </xf>
    <xf numFmtId="40" fontId="88" fillId="0" borderId="41" xfId="36" applyNumberFormat="1" applyFont="1" applyBorder="1" applyAlignment="1">
      <alignment vertical="center"/>
    </xf>
    <xf numFmtId="3" fontId="87" fillId="0" borderId="0" xfId="0" applyNumberFormat="1" applyFont="1" applyAlignment="1">
      <alignment horizontal="justify" vertical="center" wrapText="1"/>
    </xf>
    <xf numFmtId="210" fontId="87" fillId="0" borderId="0" xfId="0" applyNumberFormat="1" applyFont="1" applyFill="1" applyAlignment="1">
      <alignment vertical="center"/>
    </xf>
    <xf numFmtId="210" fontId="87" fillId="0" borderId="0" xfId="0" applyNumberFormat="1" applyFont="1" applyFill="1" applyAlignment="1">
      <alignment horizontal="center" vertical="center"/>
    </xf>
    <xf numFmtId="198" fontId="87" fillId="0" borderId="0" xfId="0" applyNumberFormat="1" applyFont="1" applyFill="1" applyAlignment="1">
      <alignment horizontal="right" vertical="center"/>
    </xf>
    <xf numFmtId="210" fontId="87" fillId="0" borderId="0" xfId="0" applyNumberFormat="1" applyFont="1" applyFill="1" applyAlignment="1">
      <alignment horizontal="right" vertical="center"/>
    </xf>
    <xf numFmtId="198" fontId="87" fillId="0" borderId="0" xfId="0" applyNumberFormat="1" applyFont="1" applyAlignment="1">
      <alignment horizontal="center" vertical="center"/>
    </xf>
    <xf numFmtId="198" fontId="87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5" fillId="2" borderId="25" xfId="0" applyNumberFormat="1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5" fillId="2" borderId="20" xfId="0" applyNumberFormat="1" applyFont="1" applyFill="1" applyBorder="1" applyAlignment="1">
      <alignment horizontal="center"/>
    </xf>
    <xf numFmtId="3" fontId="5" fillId="2" borderId="19" xfId="0" applyNumberFormat="1" applyFont="1" applyFill="1" applyBorder="1" applyAlignment="1">
      <alignment horizontal="center"/>
    </xf>
    <xf numFmtId="3" fontId="5" fillId="2" borderId="23" xfId="0" applyNumberFormat="1" applyFont="1" applyFill="1" applyBorder="1" applyAlignment="1">
      <alignment horizontal="center"/>
    </xf>
    <xf numFmtId="3" fontId="5" fillId="2" borderId="21" xfId="0" applyNumberFormat="1" applyFont="1" applyFill="1" applyBorder="1" applyAlignment="1">
      <alignment horizontal="center"/>
    </xf>
    <xf numFmtId="3" fontId="5" fillId="2" borderId="20" xfId="0" applyNumberFormat="1" applyFont="1" applyFill="1" applyBorder="1" applyAlignment="1">
      <alignment horizontal="center"/>
    </xf>
    <xf numFmtId="3" fontId="5" fillId="2" borderId="19" xfId="0" applyNumberFormat="1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3" fontId="5" fillId="2" borderId="23" xfId="0" applyNumberFormat="1" applyFont="1" applyFill="1" applyBorder="1" applyAlignment="1">
      <alignment horizontal="center"/>
    </xf>
    <xf numFmtId="3" fontId="5" fillId="2" borderId="21" xfId="0" applyNumberFormat="1" applyFont="1" applyFill="1" applyBorder="1" applyAlignment="1">
      <alignment horizontal="center"/>
    </xf>
    <xf numFmtId="3" fontId="66" fillId="2" borderId="12" xfId="0" applyNumberFormat="1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0" fontId="66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3" fontId="66" fillId="2" borderId="20" xfId="0" applyNumberFormat="1" applyFont="1" applyFill="1" applyBorder="1" applyAlignment="1">
      <alignment horizontal="center"/>
    </xf>
    <xf numFmtId="0" fontId="66" fillId="0" borderId="1" xfId="0" applyFont="1" applyBorder="1" applyAlignment="1">
      <alignment horizontal="center"/>
    </xf>
    <xf numFmtId="0" fontId="66" fillId="0" borderId="1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3" fontId="5" fillId="2" borderId="12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3" fontId="5" fillId="2" borderId="13" xfId="0" applyNumberFormat="1" applyFont="1" applyFill="1" applyBorder="1" applyAlignment="1">
      <alignment horizontal="center"/>
    </xf>
    <xf numFmtId="14" fontId="5" fillId="2" borderId="25" xfId="0" applyNumberFormat="1" applyFont="1" applyFill="1" applyBorder="1" applyAlignment="1">
      <alignment horizontal="center"/>
    </xf>
    <xf numFmtId="0" fontId="26" fillId="2" borderId="20" xfId="0" applyFont="1" applyFill="1" applyBorder="1" applyAlignment="1">
      <alignment horizontal="center"/>
    </xf>
    <xf numFmtId="0" fontId="26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3" fontId="26" fillId="2" borderId="5" xfId="0" applyNumberFormat="1" applyFont="1" applyFill="1" applyBorder="1" applyAlignment="1">
      <alignment horizontal="center"/>
    </xf>
    <xf numFmtId="0" fontId="27" fillId="0" borderId="13" xfId="0" applyFont="1" applyBorder="1" applyAlignment="1">
      <alignment horizontal="center"/>
    </xf>
    <xf numFmtId="3" fontId="26" fillId="2" borderId="20" xfId="0" applyNumberFormat="1" applyFont="1" applyFill="1" applyBorder="1" applyAlignment="1">
      <alignment horizontal="center"/>
    </xf>
    <xf numFmtId="3" fontId="26" fillId="2" borderId="19" xfId="0" applyNumberFormat="1" applyFont="1" applyFill="1" applyBorder="1" applyAlignment="1">
      <alignment horizontal="center"/>
    </xf>
    <xf numFmtId="3" fontId="26" fillId="2" borderId="23" xfId="0" applyNumberFormat="1" applyFont="1" applyFill="1" applyBorder="1" applyAlignment="1">
      <alignment horizontal="center"/>
    </xf>
    <xf numFmtId="3" fontId="26" fillId="2" borderId="21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14" fontId="26" fillId="2" borderId="23" xfId="0" applyNumberFormat="1" applyFont="1" applyFill="1" applyBorder="1" applyAlignment="1">
      <alignment horizontal="center"/>
    </xf>
    <xf numFmtId="14" fontId="26" fillId="2" borderId="21" xfId="0" applyNumberFormat="1" applyFont="1" applyFill="1" applyBorder="1" applyAlignment="1">
      <alignment horizontal="center"/>
    </xf>
    <xf numFmtId="200" fontId="5" fillId="10" borderId="5" xfId="24" applyFont="1" applyFill="1" applyBorder="1" applyAlignment="1">
      <alignment horizontal="center"/>
    </xf>
    <xf numFmtId="200" fontId="5" fillId="10" borderId="13" xfId="24" applyFont="1" applyFill="1" applyBorder="1" applyAlignment="1">
      <alignment horizontal="center"/>
    </xf>
  </cellXfs>
  <cellStyles count="116">
    <cellStyle name="Normal" xfId="0"/>
    <cellStyle name="Border" xfId="15"/>
    <cellStyle name="Calc Currency (0)" xfId="16"/>
    <cellStyle name="Calc Currency (2)" xfId="17"/>
    <cellStyle name="Calc Percent (0)" xfId="18"/>
    <cellStyle name="Calc Percent (1)" xfId="19"/>
    <cellStyle name="Calc Percent (2)" xfId="20"/>
    <cellStyle name="Calc Units (0)" xfId="21"/>
    <cellStyle name="Calc Units (1)" xfId="22"/>
    <cellStyle name="Calc Units (2)" xfId="23"/>
    <cellStyle name="Comma" xfId="24"/>
    <cellStyle name="Comma  - Style1" xfId="25"/>
    <cellStyle name="Comma  - Style2" xfId="26"/>
    <cellStyle name="Comma  - Style3" xfId="27"/>
    <cellStyle name="Comma  - Style4" xfId="28"/>
    <cellStyle name="Comma  - Style5" xfId="29"/>
    <cellStyle name="Comma  - Style6" xfId="30"/>
    <cellStyle name="Comma  - Style7" xfId="31"/>
    <cellStyle name="Comma  - Style8" xfId="32"/>
    <cellStyle name="Comma [0]" xfId="33"/>
    <cellStyle name="Comma [00]" xfId="34"/>
    <cellStyle name="Comma_Lead TPA - Q4.xls (new-JO)" xfId="35"/>
    <cellStyle name="Comma_SF 0308 PWC" xfId="36"/>
    <cellStyle name="Comma_Sheet1" xfId="37"/>
    <cellStyle name="Comma0" xfId="38"/>
    <cellStyle name="Curren - Style3" xfId="39"/>
    <cellStyle name="Curren - Style4" xfId="40"/>
    <cellStyle name="Currency" xfId="41"/>
    <cellStyle name="Currency [0]" xfId="42"/>
    <cellStyle name="Currency [00]" xfId="43"/>
    <cellStyle name="Currency0" xfId="44"/>
    <cellStyle name="Dan" xfId="45"/>
    <cellStyle name="Date Short" xfId="46"/>
    <cellStyle name="Enter Currency (0)" xfId="47"/>
    <cellStyle name="Enter Currency (2)" xfId="48"/>
    <cellStyle name="Enter Units (0)" xfId="49"/>
    <cellStyle name="Enter Units (1)" xfId="50"/>
    <cellStyle name="Enter Units (2)" xfId="51"/>
    <cellStyle name="Followed Hyperlink" xfId="52"/>
    <cellStyle name="Format Number Column" xfId="53"/>
    <cellStyle name="Grey" xfId="54"/>
    <cellStyle name="Header1" xfId="55"/>
    <cellStyle name="Header2" xfId="56"/>
    <cellStyle name="Heading" xfId="57"/>
    <cellStyle name="HEADING, MAJOR" xfId="58"/>
    <cellStyle name="HEADING, MINOR" xfId="59"/>
    <cellStyle name="HEADING, RIGHT" xfId="60"/>
    <cellStyle name="HEADING,MAJOR" xfId="61"/>
    <cellStyle name="Hyperlink" xfId="62"/>
    <cellStyle name="Indent" xfId="63"/>
    <cellStyle name="Input [yellow]" xfId="64"/>
    <cellStyle name="KPMG Heading 1" xfId="65"/>
    <cellStyle name="KPMG Heading 2" xfId="66"/>
    <cellStyle name="KPMG Heading 3" xfId="67"/>
    <cellStyle name="KPMG Heading 4" xfId="68"/>
    <cellStyle name="KPMG Normal" xfId="69"/>
    <cellStyle name="KPMG Normal Text" xfId="70"/>
    <cellStyle name="Link Currency (0)" xfId="71"/>
    <cellStyle name="Link Currency (2)" xfId="72"/>
    <cellStyle name="Link Units (0)" xfId="73"/>
    <cellStyle name="Link Units (1)" xfId="74"/>
    <cellStyle name="Link Units (2)" xfId="75"/>
    <cellStyle name="Miglia - Stile1" xfId="76"/>
    <cellStyle name="Miglia - Stile2" xfId="77"/>
    <cellStyle name="Miglia - Stile3" xfId="78"/>
    <cellStyle name="Miglia - Stile4" xfId="79"/>
    <cellStyle name="Miglia - Stile5" xfId="80"/>
    <cellStyle name="Milliers [0]_ACSAS" xfId="81"/>
    <cellStyle name="Milliers_ACSAS" xfId="82"/>
    <cellStyle name="Monétaire [0]_ACSAS" xfId="83"/>
    <cellStyle name="Monétaire_ACSAS" xfId="84"/>
    <cellStyle name="no dec" xfId="85"/>
    <cellStyle name="Normal - Stile6" xfId="86"/>
    <cellStyle name="Normal - Stile7" xfId="87"/>
    <cellStyle name="Normal - Stile8" xfId="88"/>
    <cellStyle name="Normal - Style1" xfId="89"/>
    <cellStyle name="Normal - Style5" xfId="90"/>
    <cellStyle name="Normal_Fixed asset" xfId="91"/>
    <cellStyle name="Normal_SF 0308 PWC" xfId="92"/>
    <cellStyle name="Percent" xfId="93"/>
    <cellStyle name="Percent [0]" xfId="94"/>
    <cellStyle name="Percent [00]" xfId="95"/>
    <cellStyle name="Percent [2]" xfId="96"/>
    <cellStyle name="PERCENTAGE" xfId="97"/>
    <cellStyle name="PrePop Currency (0)" xfId="98"/>
    <cellStyle name="PrePop Currency (2)" xfId="99"/>
    <cellStyle name="PrePop Units (0)" xfId="100"/>
    <cellStyle name="PrePop Units (1)" xfId="101"/>
    <cellStyle name="PrePop Units (2)" xfId="102"/>
    <cellStyle name="pwstyle" xfId="103"/>
    <cellStyle name="RMG - PB01.93" xfId="104"/>
    <cellStyle name="section head" xfId="105"/>
    <cellStyle name="Standard_Division-List (A)" xfId="106"/>
    <cellStyle name="STYLE1" xfId="107"/>
    <cellStyle name="STYLE2" xfId="108"/>
    <cellStyle name="STYLE3" xfId="109"/>
    <cellStyle name="STYLE4" xfId="110"/>
    <cellStyle name="SubHeading" xfId="111"/>
    <cellStyle name="Text Indent A" xfId="112"/>
    <cellStyle name="Text Indent B" xfId="113"/>
    <cellStyle name="Text Indent C" xfId="114"/>
    <cellStyle name="W_CAP_P011" xfId="115"/>
    <cellStyle name="เครื่องหมายจุลภาค [0]_PERSONAL" xfId="116"/>
    <cellStyle name="เครื่องหมายจุลภาค_CASHFLOW Q4-2001  " xfId="117"/>
    <cellStyle name="เครื่องหมายสกุลเงิน [0]_PERSONAL" xfId="118"/>
    <cellStyle name="เครื่องหมายสกุลเงิน_PERSONAL" xfId="119"/>
    <cellStyle name="เชื่อมโยงหลายมิติ" xfId="120"/>
    <cellStyle name="ตามการเชื่อมโยงหลายมิติ" xfId="121"/>
    <cellStyle name="น้บะภฒ_95" xfId="122"/>
    <cellStyle name="ปกติ_finacial statement 2001" xfId="123"/>
    <cellStyle name="ฤธถ [0]_0e82ylkxXsZu0YORaMwizTk2E" xfId="124"/>
    <cellStyle name="ฤธถ_0e82ylkxXsZu0YORaMwizTk2E" xfId="125"/>
    <cellStyle name="ล๋ศญ [0]_0e82ylkxXsZu0YORaMwizTk2E" xfId="126"/>
    <cellStyle name="ล๋ศญ_0e82ylkxXsZu0YORaMwizTk2E" xfId="127"/>
    <cellStyle name="วฅมุ_4ฟ๙ฝวภ๛" xfId="128"/>
    <cellStyle name="標準_CAP_P022" xfId="1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externalLink" Target="externalLinks/externalLink7.xml" /><Relationship Id="rId37" Type="http://schemas.openxmlformats.org/officeDocument/2006/relationships/externalLink" Target="externalLinks/externalLink8.xml" /><Relationship Id="rId38" Type="http://schemas.openxmlformats.org/officeDocument/2006/relationships/externalLink" Target="externalLinks/externalLink9.xml" /><Relationship Id="rId39" Type="http://schemas.openxmlformats.org/officeDocument/2006/relationships/externalLink" Target="externalLinks/externalLink10.xml" /><Relationship Id="rId40" Type="http://schemas.openxmlformats.org/officeDocument/2006/relationships/externalLink" Target="externalLinks/externalLink11.xml" /><Relationship Id="rId41" Type="http://schemas.openxmlformats.org/officeDocument/2006/relationships/externalLink" Target="externalLinks/externalLink12.xml" /><Relationship Id="rId42" Type="http://schemas.openxmlformats.org/officeDocument/2006/relationships/externalLink" Target="externalLinks/externalLink13.xml" /><Relationship Id="rId43" Type="http://schemas.openxmlformats.org/officeDocument/2006/relationships/externalLink" Target="externalLinks/externalLink14.xml" /><Relationship Id="rId44" Type="http://schemas.openxmlformats.org/officeDocument/2006/relationships/externalLink" Target="externalLinks/externalLink15.xml" /><Relationship Id="rId45" Type="http://schemas.openxmlformats.org/officeDocument/2006/relationships/externalLink" Target="externalLinks/externalLink16.xml" /><Relationship Id="rId46" Type="http://schemas.openxmlformats.org/officeDocument/2006/relationships/externalLink" Target="externalLinks/externalLink17.xml" /><Relationship Id="rId47" Type="http://schemas.openxmlformats.org/officeDocument/2006/relationships/externalLink" Target="externalLinks/externalLink18.xml" /><Relationship Id="rId48" Type="http://schemas.openxmlformats.org/officeDocument/2006/relationships/externalLink" Target="externalLinks/externalLink19.xml" /><Relationship Id="rId49" Type="http://schemas.openxmlformats.org/officeDocument/2006/relationships/externalLink" Target="externalLinks/externalLink20.xml" /><Relationship Id="rId5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22</xdr:row>
      <xdr:rowOff>76200</xdr:rowOff>
    </xdr:from>
    <xdr:ext cx="76200" cy="381000"/>
    <xdr:sp>
      <xdr:nvSpPr>
        <xdr:cNvPr id="1" name="TextBox 1"/>
        <xdr:cNvSpPr txBox="1">
          <a:spLocks noChangeArrowheads="1"/>
        </xdr:cNvSpPr>
      </xdr:nvSpPr>
      <xdr:spPr>
        <a:xfrm>
          <a:off x="4514850" y="3619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76200</xdr:rowOff>
    </xdr:from>
    <xdr:ext cx="76200" cy="381000"/>
    <xdr:sp>
      <xdr:nvSpPr>
        <xdr:cNvPr id="2" name="TextBox 2"/>
        <xdr:cNvSpPr txBox="1">
          <a:spLocks noChangeArrowheads="1"/>
        </xdr:cNvSpPr>
      </xdr:nvSpPr>
      <xdr:spPr>
        <a:xfrm>
          <a:off x="4514850" y="3619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76200</xdr:rowOff>
    </xdr:from>
    <xdr:ext cx="76200" cy="381000"/>
    <xdr:sp>
      <xdr:nvSpPr>
        <xdr:cNvPr id="3" name="TextBox 3"/>
        <xdr:cNvSpPr txBox="1">
          <a:spLocks noChangeArrowheads="1"/>
        </xdr:cNvSpPr>
      </xdr:nvSpPr>
      <xdr:spPr>
        <a:xfrm>
          <a:off x="4514850" y="3619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76200</xdr:rowOff>
    </xdr:from>
    <xdr:ext cx="76200" cy="381000"/>
    <xdr:sp>
      <xdr:nvSpPr>
        <xdr:cNvPr id="4" name="TextBox 4"/>
        <xdr:cNvSpPr txBox="1">
          <a:spLocks noChangeArrowheads="1"/>
        </xdr:cNvSpPr>
      </xdr:nvSpPr>
      <xdr:spPr>
        <a:xfrm>
          <a:off x="4514850" y="3619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76200</xdr:rowOff>
    </xdr:from>
    <xdr:ext cx="76200" cy="381000"/>
    <xdr:sp>
      <xdr:nvSpPr>
        <xdr:cNvPr id="5" name="TextBox 5"/>
        <xdr:cNvSpPr txBox="1">
          <a:spLocks noChangeArrowheads="1"/>
        </xdr:cNvSpPr>
      </xdr:nvSpPr>
      <xdr:spPr>
        <a:xfrm>
          <a:off x="4514850" y="3619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76200</xdr:rowOff>
    </xdr:from>
    <xdr:ext cx="76200" cy="381000"/>
    <xdr:sp>
      <xdr:nvSpPr>
        <xdr:cNvPr id="6" name="TextBox 6"/>
        <xdr:cNvSpPr txBox="1">
          <a:spLocks noChangeArrowheads="1"/>
        </xdr:cNvSpPr>
      </xdr:nvSpPr>
      <xdr:spPr>
        <a:xfrm>
          <a:off x="4514850" y="3619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76200</xdr:rowOff>
    </xdr:from>
    <xdr:ext cx="76200" cy="381000"/>
    <xdr:sp>
      <xdr:nvSpPr>
        <xdr:cNvPr id="7" name="TextBox 7"/>
        <xdr:cNvSpPr txBox="1">
          <a:spLocks noChangeArrowheads="1"/>
        </xdr:cNvSpPr>
      </xdr:nvSpPr>
      <xdr:spPr>
        <a:xfrm>
          <a:off x="4514850" y="3619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76200</xdr:rowOff>
    </xdr:from>
    <xdr:ext cx="76200" cy="381000"/>
    <xdr:sp>
      <xdr:nvSpPr>
        <xdr:cNvPr id="8" name="TextBox 8"/>
        <xdr:cNvSpPr txBox="1">
          <a:spLocks noChangeArrowheads="1"/>
        </xdr:cNvSpPr>
      </xdr:nvSpPr>
      <xdr:spPr>
        <a:xfrm>
          <a:off x="4514850" y="3619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76200</xdr:rowOff>
    </xdr:from>
    <xdr:ext cx="76200" cy="381000"/>
    <xdr:sp>
      <xdr:nvSpPr>
        <xdr:cNvPr id="9" name="TextBox 9"/>
        <xdr:cNvSpPr txBox="1">
          <a:spLocks noChangeArrowheads="1"/>
        </xdr:cNvSpPr>
      </xdr:nvSpPr>
      <xdr:spPr>
        <a:xfrm>
          <a:off x="4514850" y="3619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76200</xdr:rowOff>
    </xdr:from>
    <xdr:ext cx="76200" cy="381000"/>
    <xdr:sp>
      <xdr:nvSpPr>
        <xdr:cNvPr id="10" name="TextBox 10"/>
        <xdr:cNvSpPr txBox="1">
          <a:spLocks noChangeArrowheads="1"/>
        </xdr:cNvSpPr>
      </xdr:nvSpPr>
      <xdr:spPr>
        <a:xfrm>
          <a:off x="4514850" y="3619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76200</xdr:rowOff>
    </xdr:from>
    <xdr:ext cx="76200" cy="381000"/>
    <xdr:sp>
      <xdr:nvSpPr>
        <xdr:cNvPr id="11" name="TextBox 11"/>
        <xdr:cNvSpPr txBox="1">
          <a:spLocks noChangeArrowheads="1"/>
        </xdr:cNvSpPr>
      </xdr:nvSpPr>
      <xdr:spPr>
        <a:xfrm>
          <a:off x="4514850" y="3619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76200</xdr:rowOff>
    </xdr:from>
    <xdr:ext cx="76200" cy="381000"/>
    <xdr:sp>
      <xdr:nvSpPr>
        <xdr:cNvPr id="12" name="TextBox 12"/>
        <xdr:cNvSpPr txBox="1">
          <a:spLocks noChangeArrowheads="1"/>
        </xdr:cNvSpPr>
      </xdr:nvSpPr>
      <xdr:spPr>
        <a:xfrm>
          <a:off x="4514850" y="3619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76200</xdr:rowOff>
    </xdr:from>
    <xdr:ext cx="76200" cy="381000"/>
    <xdr:sp>
      <xdr:nvSpPr>
        <xdr:cNvPr id="13" name="TextBox 13"/>
        <xdr:cNvSpPr txBox="1">
          <a:spLocks noChangeArrowheads="1"/>
        </xdr:cNvSpPr>
      </xdr:nvSpPr>
      <xdr:spPr>
        <a:xfrm>
          <a:off x="4514850" y="3619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76200</xdr:rowOff>
    </xdr:from>
    <xdr:ext cx="76200" cy="381000"/>
    <xdr:sp>
      <xdr:nvSpPr>
        <xdr:cNvPr id="14" name="TextBox 14"/>
        <xdr:cNvSpPr txBox="1">
          <a:spLocks noChangeArrowheads="1"/>
        </xdr:cNvSpPr>
      </xdr:nvSpPr>
      <xdr:spPr>
        <a:xfrm>
          <a:off x="4514850" y="3619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76200</xdr:rowOff>
    </xdr:from>
    <xdr:ext cx="76200" cy="381000"/>
    <xdr:sp>
      <xdr:nvSpPr>
        <xdr:cNvPr id="15" name="TextBox 15"/>
        <xdr:cNvSpPr txBox="1">
          <a:spLocks noChangeArrowheads="1"/>
        </xdr:cNvSpPr>
      </xdr:nvSpPr>
      <xdr:spPr>
        <a:xfrm>
          <a:off x="4514850" y="3619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76200</xdr:rowOff>
    </xdr:from>
    <xdr:ext cx="76200" cy="381000"/>
    <xdr:sp>
      <xdr:nvSpPr>
        <xdr:cNvPr id="16" name="TextBox 16"/>
        <xdr:cNvSpPr txBox="1">
          <a:spLocks noChangeArrowheads="1"/>
        </xdr:cNvSpPr>
      </xdr:nvSpPr>
      <xdr:spPr>
        <a:xfrm>
          <a:off x="4514850" y="3619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SUTATH~1\LOCALS~1\Temp\notes32C5CD\~231714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aree%20Tamvereyalux\My%20Documents\Thai%20Poly%20Acrylic%202008\Lead\Lead%20after%20adjust%2031%20Dec%20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PA%20Q1'08\REVIEW%20TAX\SF%200308%20PW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WANDEE~1\LOCALS~1\Temp\DOCUME~1\MANASR~1\LOCALS~1\Temp\R-PKG-YTH-Feb-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WANDEE~1\LOCALS~1\Temp\Documents%20and%20Settings\nittaya%20kittinapakun\Desktop\Lead%20yoko%20&amp;%20River\Package\Yoko\Client\Revise%20R-PKG-YTH-Feb-0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SUTATH~1\LOCALS~1\Temp\notes32C5CD\Final\SUD-YE12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KIATTI~1\LOCALS~1\Temp\Lead%20Calcorp%20Q2'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twattanamatiphoj\My%20Documents\Orn\Clipsal\data\1.Client%202001\Poonsap%20Communication\1.Client%202001\Chuo%20Senko%20Group\Carat%20Media%20Services\TOP_Carat_2001%20;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Desktop\1.Client%202001\Chuo%20Senko%20Group\Carat%20Media%20Services\1.Client%202001\Chuo%20Senko%20Group\Carat%20Media%20Services\TOP_Carat_2001%20;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Q1'08\SF%200308%20PWC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aree%20Tamvereyalux\My%20Documents\Thai%20Poly%20Acrylic%202008\Q1'08\SF%200308%20PW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WANDEE~1\LOCALS~1\Temp\DOCUME~1\MANASR~1\LOCALS~1\Temp\R-PKG-YTH-Feb-0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SAREET~1\LOCALS~1\Temp\notesC9812B\Cash_Q1'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WANDEE~1\LOCALS~1\Temp\Documents%20and%20Settings\nittaya%20kittinapakun\Desktop\Lead%20yoko%20&amp;%20River\Package\Yoko\Client\Revise%20R-PKG-YTH-Feb-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SUTATH~1\LOCALS~1\Temp\notes32C5CD\Final\SUD-YE12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02\d\My%20Documents\Prushya\P'Ong\PCB-Rolling%202004%20V3%20After%20PWC%20Adjust\02TB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KIATTI~1\LOCALS~1\Temp\Lead%20Calcorp%20Q2'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twattanamatiphoj\My%20Documents\Orn\Clipsal\data\1.Client%202001\Poonsap%20Communication\1.Client%202001\Chuo%20Senko%20Group\Carat%20Media%20Services\TOP_Carat_2001%20;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Desktop\1.Client%202001\Chuo%20Senko%20Group\Carat%20Media%20Services\1.Client%202001\Chuo%20Senko%20Group\Carat%20Media%20Services\TOP_Carat_2001%20;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ash%20flow%20Asia%20c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 Q3'06"/>
      <sheetName val="BS &amp;PL Q3'06"/>
      <sheetName val="TB Q4'06"/>
      <sheetName val="BS&amp;PL Q4'06"/>
      <sheetName val="ControlBS"/>
      <sheetName val="3000"/>
      <sheetName val="3200"/>
      <sheetName val="3300"/>
      <sheetName val="3400"/>
      <sheetName val="3600"/>
      <sheetName val="3700"/>
      <sheetName val="3800"/>
      <sheetName val="4000"/>
      <sheetName val="4100"/>
      <sheetName val="5000"/>
      <sheetName val="Control PL"/>
      <sheetName val="6000"/>
      <sheetName val="6100"/>
      <sheetName val="6100-1"/>
      <sheetName val="6200"/>
      <sheetName val="6300"/>
      <sheetName val="6300-1"/>
      <sheetName val="6500"/>
      <sheetName val="Income Tax_Q406"/>
      <sheetName val="Client Adj"/>
      <sheetName val="TB Q1'06"/>
      <sheetName val="BS_Q106"/>
      <sheetName val="PL_Q106"/>
      <sheetName val="TB BS PL Q2'06"/>
      <sheetName val="Support CF"/>
      <sheetName val="Cash flow"/>
    </sheetNames>
    <sheetDataSet>
      <sheetData sheetId="18">
        <row r="8">
          <cell r="A8">
            <v>530110</v>
          </cell>
          <cell r="B8" t="str">
            <v>Salaries and Wage</v>
          </cell>
          <cell r="D8">
            <v>3227075.82</v>
          </cell>
          <cell r="E8">
            <v>6205019.500000001</v>
          </cell>
          <cell r="F8">
            <v>2977943.680000001</v>
          </cell>
          <cell r="G8">
            <v>9195673.979999999</v>
          </cell>
          <cell r="H8">
            <v>2990654.4799999977</v>
          </cell>
          <cell r="I8">
            <v>12225612.17</v>
          </cell>
          <cell r="J8">
            <v>3029938.1900000013</v>
          </cell>
          <cell r="N8">
            <v>12225612.17</v>
          </cell>
          <cell r="O8">
            <v>3029938.1900000013</v>
          </cell>
        </row>
        <row r="9">
          <cell r="A9">
            <v>530120</v>
          </cell>
          <cell r="B9" t="str">
            <v>Overtime Pay</v>
          </cell>
          <cell r="D9">
            <v>548629.22</v>
          </cell>
          <cell r="E9">
            <v>1261919.22</v>
          </cell>
          <cell r="F9">
            <v>713290</v>
          </cell>
          <cell r="G9">
            <v>1858327.67</v>
          </cell>
          <cell r="H9">
            <v>596408.45</v>
          </cell>
          <cell r="I9">
            <v>2531577.41</v>
          </cell>
          <cell r="J9">
            <v>673249.7400000002</v>
          </cell>
          <cell r="N9">
            <v>2531577.41</v>
          </cell>
          <cell r="O9">
            <v>673249.7400000002</v>
          </cell>
        </row>
        <row r="10">
          <cell r="A10">
            <v>530130</v>
          </cell>
          <cell r="B10" t="str">
            <v>Bonus</v>
          </cell>
          <cell r="D10">
            <v>1417231.69</v>
          </cell>
          <cell r="E10">
            <v>2850210.41</v>
          </cell>
          <cell r="F10">
            <v>1432978.7200000002</v>
          </cell>
          <cell r="G10">
            <v>4298936.14</v>
          </cell>
          <cell r="H10">
            <v>1448725.7299999995</v>
          </cell>
          <cell r="I10">
            <v>1782497</v>
          </cell>
          <cell r="J10">
            <v>-2516439.1399999997</v>
          </cell>
          <cell r="N10">
            <v>1782497</v>
          </cell>
          <cell r="O10">
            <v>-2516439.1399999997</v>
          </cell>
        </row>
        <row r="11">
          <cell r="A11">
            <v>530140</v>
          </cell>
          <cell r="B11" t="str">
            <v>Welfare Expenses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N11">
            <v>0</v>
          </cell>
          <cell r="O11">
            <v>0</v>
          </cell>
        </row>
        <row r="12">
          <cell r="A12">
            <v>530170</v>
          </cell>
          <cell r="B12" t="str">
            <v>Security Expenses</v>
          </cell>
          <cell r="D12">
            <v>251700</v>
          </cell>
          <cell r="E12">
            <v>503220</v>
          </cell>
          <cell r="F12">
            <v>251520</v>
          </cell>
          <cell r="G12">
            <v>752640</v>
          </cell>
          <cell r="H12">
            <v>249420</v>
          </cell>
          <cell r="I12">
            <v>1000800</v>
          </cell>
          <cell r="J12">
            <v>248160</v>
          </cell>
          <cell r="N12">
            <v>1000800</v>
          </cell>
          <cell r="O12">
            <v>248160</v>
          </cell>
        </row>
        <row r="13">
          <cell r="A13">
            <v>530190</v>
          </cell>
          <cell r="B13" t="str">
            <v>Plant Move Project Expense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N13">
            <v>0</v>
          </cell>
          <cell r="O13">
            <v>0</v>
          </cell>
        </row>
        <row r="14">
          <cell r="A14">
            <v>530180</v>
          </cell>
          <cell r="B14" t="str">
            <v>Building &amp; Land Tax</v>
          </cell>
          <cell r="D14">
            <v>57911.69</v>
          </cell>
          <cell r="E14">
            <v>116466.82</v>
          </cell>
          <cell r="F14">
            <v>58555.130000000005</v>
          </cell>
          <cell r="G14">
            <v>175665.41</v>
          </cell>
          <cell r="H14">
            <v>59198.59</v>
          </cell>
          <cell r="I14">
            <v>234864</v>
          </cell>
          <cell r="J14">
            <v>59198.59</v>
          </cell>
          <cell r="N14">
            <v>234864</v>
          </cell>
          <cell r="O14">
            <v>59198.59</v>
          </cell>
        </row>
        <row r="15">
          <cell r="A15">
            <v>530200</v>
          </cell>
          <cell r="B15" t="str">
            <v>Insurance  -  factory</v>
          </cell>
          <cell r="D15">
            <v>105195.35</v>
          </cell>
          <cell r="E15">
            <v>230949.96</v>
          </cell>
          <cell r="F15">
            <v>125754.60999999999</v>
          </cell>
          <cell r="G15">
            <v>358302.2</v>
          </cell>
          <cell r="H15">
            <v>127352.24000000002</v>
          </cell>
          <cell r="I15">
            <v>485629.18000000005</v>
          </cell>
          <cell r="J15">
            <v>127326.98000000004</v>
          </cell>
          <cell r="N15">
            <v>485629.18000000005</v>
          </cell>
          <cell r="O15">
            <v>127326.98000000004</v>
          </cell>
        </row>
        <row r="16">
          <cell r="A16">
            <v>530201</v>
          </cell>
          <cell r="B16" t="str">
            <v>Insurance - Staff</v>
          </cell>
          <cell r="D16">
            <v>57029.81</v>
          </cell>
          <cell r="E16">
            <v>117457.52</v>
          </cell>
          <cell r="F16">
            <v>60427.71000000001</v>
          </cell>
          <cell r="G16">
            <v>177659.61</v>
          </cell>
          <cell r="H16">
            <v>60202.08999999998</v>
          </cell>
          <cell r="I16">
            <v>239621.70000000004</v>
          </cell>
          <cell r="J16">
            <v>61962.090000000055</v>
          </cell>
          <cell r="N16">
            <v>239621.70000000004</v>
          </cell>
          <cell r="O16">
            <v>61962.090000000055</v>
          </cell>
        </row>
        <row r="17">
          <cell r="A17">
            <v>530210</v>
          </cell>
          <cell r="B17" t="str">
            <v>Rent</v>
          </cell>
          <cell r="D17">
            <v>783631.41</v>
          </cell>
          <cell r="E17">
            <v>1554072.65</v>
          </cell>
          <cell r="F17">
            <v>770441.2399999999</v>
          </cell>
          <cell r="G17">
            <v>2327323.77</v>
          </cell>
          <cell r="H17">
            <v>773251.1200000001</v>
          </cell>
          <cell r="I17">
            <v>3100574.89</v>
          </cell>
          <cell r="J17">
            <v>773251.1200000001</v>
          </cell>
          <cell r="N17">
            <v>3100574.89</v>
          </cell>
          <cell r="O17">
            <v>773251.1200000001</v>
          </cell>
        </row>
        <row r="18">
          <cell r="A18">
            <v>530230</v>
          </cell>
          <cell r="B18" t="str">
            <v>Water</v>
          </cell>
          <cell r="D18">
            <v>438871.12</v>
          </cell>
          <cell r="E18">
            <v>923416.75</v>
          </cell>
          <cell r="F18">
            <v>484545.63</v>
          </cell>
          <cell r="G18">
            <v>1405772.25</v>
          </cell>
          <cell r="H18">
            <v>482355.5</v>
          </cell>
          <cell r="I18">
            <v>1804258.25</v>
          </cell>
          <cell r="J18">
            <v>398486</v>
          </cell>
          <cell r="N18">
            <v>1804258.25</v>
          </cell>
          <cell r="O18">
            <v>398486</v>
          </cell>
        </row>
        <row r="19">
          <cell r="A19">
            <v>530250</v>
          </cell>
          <cell r="B19" t="str">
            <v>Compensation expenses</v>
          </cell>
          <cell r="D19">
            <v>258254.41</v>
          </cell>
          <cell r="E19">
            <v>291834.41</v>
          </cell>
          <cell r="F19">
            <v>33579.99999999997</v>
          </cell>
          <cell r="G19">
            <v>291834.41</v>
          </cell>
          <cell r="H19">
            <v>0</v>
          </cell>
          <cell r="I19">
            <v>291834.41</v>
          </cell>
          <cell r="J19">
            <v>0</v>
          </cell>
          <cell r="N19">
            <v>291834.41</v>
          </cell>
          <cell r="O19">
            <v>0</v>
          </cell>
        </row>
        <row r="20">
          <cell r="A20">
            <v>530260</v>
          </cell>
          <cell r="B20" t="str">
            <v>Social Security Expenses</v>
          </cell>
          <cell r="D20">
            <v>348838</v>
          </cell>
          <cell r="E20">
            <v>710158</v>
          </cell>
          <cell r="F20">
            <v>361320</v>
          </cell>
          <cell r="G20">
            <v>1074827</v>
          </cell>
          <cell r="H20">
            <v>364669</v>
          </cell>
          <cell r="I20">
            <v>1432218</v>
          </cell>
          <cell r="J20">
            <v>357391</v>
          </cell>
          <cell r="N20">
            <v>1432218</v>
          </cell>
          <cell r="O20">
            <v>357391</v>
          </cell>
        </row>
        <row r="21">
          <cell r="A21">
            <v>530261</v>
          </cell>
          <cell r="B21" t="str">
            <v>Provident  funds expenses</v>
          </cell>
          <cell r="D21">
            <v>324587.75</v>
          </cell>
          <cell r="E21">
            <v>647872.75</v>
          </cell>
          <cell r="F21">
            <v>323285</v>
          </cell>
          <cell r="G21">
            <v>976400.25</v>
          </cell>
          <cell r="H21">
            <v>328527.5</v>
          </cell>
          <cell r="I21">
            <v>1308319</v>
          </cell>
          <cell r="J21">
            <v>331918.75</v>
          </cell>
          <cell r="N21">
            <v>1308319</v>
          </cell>
          <cell r="O21">
            <v>331918.75</v>
          </cell>
        </row>
        <row r="22">
          <cell r="A22">
            <v>530270</v>
          </cell>
          <cell r="B22" t="str">
            <v>Safety Health Enviroenment  Expenses</v>
          </cell>
          <cell r="D22">
            <v>257194.75</v>
          </cell>
          <cell r="E22">
            <v>419438</v>
          </cell>
          <cell r="F22">
            <v>162243.25</v>
          </cell>
          <cell r="G22">
            <v>610960.5</v>
          </cell>
          <cell r="H22">
            <v>191522.5</v>
          </cell>
          <cell r="I22">
            <v>730996.5</v>
          </cell>
          <cell r="J22">
            <v>120036</v>
          </cell>
          <cell r="N22">
            <v>730996.5</v>
          </cell>
          <cell r="O22">
            <v>120036</v>
          </cell>
        </row>
        <row r="23">
          <cell r="A23">
            <v>530300</v>
          </cell>
          <cell r="B23" t="str">
            <v>License Expenses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N23">
            <v>0</v>
          </cell>
          <cell r="O23">
            <v>0</v>
          </cell>
        </row>
        <row r="24">
          <cell r="A24">
            <v>530310</v>
          </cell>
          <cell r="B24" t="str">
            <v>Fire-preveution</v>
          </cell>
          <cell r="D24">
            <v>2088</v>
          </cell>
          <cell r="E24">
            <v>6436.79</v>
          </cell>
          <cell r="F24">
            <v>4348.79</v>
          </cell>
          <cell r="G24">
            <v>13011.79</v>
          </cell>
          <cell r="H24">
            <v>6575.000000000001</v>
          </cell>
          <cell r="I24">
            <v>19857.79</v>
          </cell>
          <cell r="J24">
            <v>6846</v>
          </cell>
          <cell r="N24">
            <v>19857.79</v>
          </cell>
          <cell r="O24">
            <v>6846</v>
          </cell>
        </row>
        <row r="25">
          <cell r="A25">
            <v>530330</v>
          </cell>
          <cell r="B25" t="str">
            <v>Depreciation - Buildings</v>
          </cell>
          <cell r="D25">
            <v>519336.33</v>
          </cell>
          <cell r="E25">
            <v>1044443.1</v>
          </cell>
          <cell r="F25">
            <v>525106.77</v>
          </cell>
          <cell r="G25">
            <v>1662526.36</v>
          </cell>
          <cell r="H25">
            <v>618083.2600000001</v>
          </cell>
          <cell r="I25">
            <v>2324927.47</v>
          </cell>
          <cell r="J25">
            <v>662401.1100000001</v>
          </cell>
          <cell r="N25">
            <v>2324927.47</v>
          </cell>
          <cell r="O25">
            <v>662401.1100000001</v>
          </cell>
        </row>
        <row r="26">
          <cell r="A26">
            <v>530500</v>
          </cell>
          <cell r="B26" t="str">
            <v>Depreciation - Land and buildings improvements</v>
          </cell>
          <cell r="D26">
            <v>1506454.16</v>
          </cell>
          <cell r="E26">
            <v>3117500.43</v>
          </cell>
          <cell r="F26">
            <v>1611046.2700000003</v>
          </cell>
          <cell r="G26">
            <v>5170506.44</v>
          </cell>
          <cell r="H26">
            <v>2053006.0100000002</v>
          </cell>
          <cell r="I26">
            <v>7508705.89</v>
          </cell>
          <cell r="J26">
            <v>2338199.4499999993</v>
          </cell>
          <cell r="N26">
            <v>7508705.89</v>
          </cell>
          <cell r="O26">
            <v>2338199.4499999993</v>
          </cell>
        </row>
        <row r="27">
          <cell r="A27">
            <v>530340</v>
          </cell>
          <cell r="B27" t="str">
            <v>Depreciation - Machinery</v>
          </cell>
          <cell r="D27">
            <v>3104203.58</v>
          </cell>
          <cell r="E27">
            <v>6194539.110000001</v>
          </cell>
          <cell r="F27">
            <v>3090335.530000001</v>
          </cell>
          <cell r="G27">
            <v>10116114.68</v>
          </cell>
          <cell r="H27">
            <v>3921575.5699999984</v>
          </cell>
          <cell r="I27">
            <v>15950212.93</v>
          </cell>
          <cell r="J27">
            <v>5834098.25</v>
          </cell>
          <cell r="N27">
            <v>15950212.93</v>
          </cell>
          <cell r="O27">
            <v>5834098.25</v>
          </cell>
        </row>
        <row r="28">
          <cell r="A28">
            <v>530350</v>
          </cell>
          <cell r="B28" t="str">
            <v>Depreciation - Vehicles</v>
          </cell>
          <cell r="D28">
            <v>25803.49</v>
          </cell>
          <cell r="E28">
            <v>51893.7</v>
          </cell>
          <cell r="F28">
            <v>26090.209999999995</v>
          </cell>
          <cell r="G28">
            <v>78270.61</v>
          </cell>
          <cell r="H28">
            <v>26376.910000000003</v>
          </cell>
          <cell r="I28">
            <v>104647.51999999999</v>
          </cell>
          <cell r="J28">
            <v>26376.90999999999</v>
          </cell>
          <cell r="N28">
            <v>104647.51999999999</v>
          </cell>
          <cell r="O28">
            <v>26376.90999999999</v>
          </cell>
        </row>
        <row r="29">
          <cell r="A29">
            <v>530360</v>
          </cell>
          <cell r="B29" t="str">
            <v>Depreciation - Equipment</v>
          </cell>
          <cell r="D29">
            <v>779213.53</v>
          </cell>
          <cell r="E29">
            <v>1654280.88</v>
          </cell>
          <cell r="F29">
            <v>875067.3499999999</v>
          </cell>
          <cell r="G29">
            <v>2638360.17</v>
          </cell>
          <cell r="H29">
            <v>984079.29</v>
          </cell>
          <cell r="I29">
            <v>3826783.21</v>
          </cell>
          <cell r="J29">
            <v>1188423.04</v>
          </cell>
          <cell r="N29">
            <v>3826783.21</v>
          </cell>
          <cell r="O29">
            <v>1188423.04</v>
          </cell>
        </row>
        <row r="30">
          <cell r="A30">
            <v>422201</v>
          </cell>
          <cell r="B30" t="str">
            <v>Import Duty Refund</v>
          </cell>
          <cell r="D30">
            <v>-711765.89</v>
          </cell>
          <cell r="E30">
            <v>-916920.83</v>
          </cell>
          <cell r="F30">
            <v>-205154.93999999994</v>
          </cell>
          <cell r="G30">
            <v>-981902.09</v>
          </cell>
          <cell r="H30">
            <v>-64981.26000000001</v>
          </cell>
          <cell r="I30">
            <v>-1203568.09</v>
          </cell>
          <cell r="J30">
            <v>-221666.00000000012</v>
          </cell>
          <cell r="N30">
            <v>-1203568.09</v>
          </cell>
          <cell r="O30">
            <v>-221666.00000000012</v>
          </cell>
        </row>
        <row r="31">
          <cell r="A31">
            <v>422202</v>
          </cell>
          <cell r="B31" t="str">
            <v>Import  duty  fee payment  shortage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>
            <v>0</v>
          </cell>
          <cell r="O31">
            <v>0</v>
          </cell>
        </row>
        <row r="32">
          <cell r="A32">
            <v>530370</v>
          </cell>
          <cell r="B32" t="str">
            <v>Laboratory Expenses</v>
          </cell>
          <cell r="D32">
            <v>139396.43</v>
          </cell>
          <cell r="E32">
            <v>166408.43</v>
          </cell>
          <cell r="F32">
            <v>27012</v>
          </cell>
          <cell r="G32">
            <v>264983.56</v>
          </cell>
          <cell r="H32">
            <v>98575.13</v>
          </cell>
          <cell r="I32">
            <v>334897.39</v>
          </cell>
          <cell r="J32">
            <v>69913.83000000002</v>
          </cell>
          <cell r="N32">
            <v>334897.39</v>
          </cell>
          <cell r="O32">
            <v>69913.83000000002</v>
          </cell>
        </row>
        <row r="34">
          <cell r="B34" t="str">
            <v>TOTAL FIXED FACTORY OVERHEAD</v>
          </cell>
          <cell r="D34">
            <v>13440880.649999999</v>
          </cell>
          <cell r="E34">
            <v>27150617.6</v>
          </cell>
          <cell r="F34">
            <v>13709736.950000003</v>
          </cell>
          <cell r="G34">
            <v>42466194.70999999</v>
          </cell>
          <cell r="H34">
            <v>15315577.109999996</v>
          </cell>
          <cell r="I34">
            <v>56035266.62</v>
          </cell>
          <cell r="J34">
            <v>13569071.910000002</v>
          </cell>
          <cell r="L34">
            <v>0</v>
          </cell>
          <cell r="M34">
            <v>0</v>
          </cell>
          <cell r="N34">
            <v>56035266.62</v>
          </cell>
          <cell r="O34">
            <v>13569071.910000002</v>
          </cell>
        </row>
        <row r="37">
          <cell r="B37" t="str">
            <v>VARIABLE FACTORY OVERHEAD :-</v>
          </cell>
        </row>
        <row r="38">
          <cell r="A38">
            <v>530150</v>
          </cell>
          <cell r="B38" t="str">
            <v>Fuel</v>
          </cell>
          <cell r="D38">
            <v>5836071.95</v>
          </cell>
          <cell r="E38">
            <v>11162321.56</v>
          </cell>
          <cell r="F38">
            <v>5326249.61</v>
          </cell>
          <cell r="G38">
            <v>16995589.5</v>
          </cell>
          <cell r="H38">
            <v>5833267.9399999995</v>
          </cell>
          <cell r="I38">
            <v>21665224.900000002</v>
          </cell>
          <cell r="J38">
            <v>4669635.400000002</v>
          </cell>
          <cell r="N38">
            <v>21665224.900000002</v>
          </cell>
          <cell r="O38">
            <v>4669635.400000002</v>
          </cell>
        </row>
        <row r="39">
          <cell r="A39">
            <v>530160</v>
          </cell>
          <cell r="B39" t="str">
            <v>Repair and Maintenance</v>
          </cell>
          <cell r="D39">
            <v>1564996.5</v>
          </cell>
          <cell r="E39">
            <v>3799917.77</v>
          </cell>
          <cell r="F39">
            <v>2234921.27</v>
          </cell>
          <cell r="G39">
            <v>5707783.2700000005</v>
          </cell>
          <cell r="H39">
            <v>1907865.5000000005</v>
          </cell>
          <cell r="I39">
            <v>8907835.68</v>
          </cell>
          <cell r="J39">
            <v>3200052.409999999</v>
          </cell>
          <cell r="N39">
            <v>8907835.68</v>
          </cell>
          <cell r="O39">
            <v>3200052.409999999</v>
          </cell>
        </row>
        <row r="40">
          <cell r="A40">
            <v>530220</v>
          </cell>
          <cell r="B40" t="str">
            <v>Electricity</v>
          </cell>
          <cell r="D40">
            <v>6920760.31</v>
          </cell>
          <cell r="E40">
            <v>14222341.45</v>
          </cell>
          <cell r="F40">
            <v>7301581.14</v>
          </cell>
          <cell r="G40">
            <v>21627297.01</v>
          </cell>
          <cell r="H40">
            <v>7404955.560000002</v>
          </cell>
          <cell r="I40">
            <v>28120775.53</v>
          </cell>
          <cell r="J40">
            <v>6493478.52</v>
          </cell>
          <cell r="N40">
            <v>28120775.53</v>
          </cell>
          <cell r="O40">
            <v>6493478.52</v>
          </cell>
        </row>
        <row r="41">
          <cell r="A41">
            <v>530240</v>
          </cell>
          <cell r="B41" t="str">
            <v>Packaging</v>
          </cell>
          <cell r="D41">
            <v>2918175.15</v>
          </cell>
          <cell r="E41">
            <v>5777331.78</v>
          </cell>
          <cell r="F41">
            <v>2859156.6300000004</v>
          </cell>
          <cell r="G41">
            <v>9122777.279999997</v>
          </cell>
          <cell r="H41">
            <v>3345445.499999997</v>
          </cell>
          <cell r="I41">
            <v>12088411.450000001</v>
          </cell>
          <cell r="J41">
            <v>2965634.1700000037</v>
          </cell>
          <cell r="N41">
            <v>12088411.450000001</v>
          </cell>
          <cell r="O41">
            <v>2965634.1700000037</v>
          </cell>
        </row>
        <row r="42">
          <cell r="A42">
            <v>530290</v>
          </cell>
          <cell r="B42" t="str">
            <v>Glass Mould Expenses</v>
          </cell>
          <cell r="D42">
            <v>3261437.42</v>
          </cell>
          <cell r="E42">
            <v>5538958.65</v>
          </cell>
          <cell r="F42">
            <v>2277521.2300000004</v>
          </cell>
          <cell r="G42">
            <v>7522401.46</v>
          </cell>
          <cell r="H42">
            <v>1983442.8099999996</v>
          </cell>
          <cell r="I42">
            <v>9011220.200000001</v>
          </cell>
          <cell r="J42">
            <v>1488818.7400000012</v>
          </cell>
          <cell r="N42">
            <v>9011220.200000001</v>
          </cell>
          <cell r="O42">
            <v>1488818.7400000012</v>
          </cell>
        </row>
        <row r="43">
          <cell r="A43">
            <v>530380</v>
          </cell>
          <cell r="B43" t="str">
            <v>Component Materials Used</v>
          </cell>
          <cell r="D43">
            <v>16209659.130000003</v>
          </cell>
          <cell r="E43">
            <v>31959853.43</v>
          </cell>
          <cell r="F43">
            <v>15750194.299999997</v>
          </cell>
          <cell r="G43">
            <v>48903203.65</v>
          </cell>
          <cell r="H43">
            <v>16943350.22</v>
          </cell>
          <cell r="I43">
            <v>66271498.53999999</v>
          </cell>
          <cell r="J43">
            <v>17368294.889999993</v>
          </cell>
          <cell r="N43">
            <v>66271498.53999999</v>
          </cell>
          <cell r="O43">
            <v>17368294.889999993</v>
          </cell>
        </row>
        <row r="44">
          <cell r="A44">
            <v>530390</v>
          </cell>
          <cell r="B44" t="str">
            <v>Supplies Used</v>
          </cell>
          <cell r="D44">
            <v>1526778.61</v>
          </cell>
          <cell r="E44">
            <v>3377374.97</v>
          </cell>
          <cell r="F44">
            <v>1850596.36</v>
          </cell>
          <cell r="G44">
            <v>5729219.52</v>
          </cell>
          <cell r="H44">
            <v>2351844.5499999993</v>
          </cell>
          <cell r="I44">
            <v>8436730.25</v>
          </cell>
          <cell r="J44">
            <v>2707510.7300000004</v>
          </cell>
          <cell r="N44">
            <v>8436730.25</v>
          </cell>
          <cell r="O44">
            <v>2707510.7300000004</v>
          </cell>
        </row>
        <row r="45">
          <cell r="A45">
            <v>530400</v>
          </cell>
          <cell r="B45" t="str">
            <v>Rent &amp; Transportation of MMA</v>
          </cell>
          <cell r="D45">
            <v>1055852</v>
          </cell>
          <cell r="E45">
            <v>2113616</v>
          </cell>
          <cell r="F45">
            <v>1057764</v>
          </cell>
          <cell r="G45">
            <v>3252075.96</v>
          </cell>
          <cell r="H45">
            <v>1138459.96</v>
          </cell>
          <cell r="I45">
            <v>4326085.96</v>
          </cell>
          <cell r="J45">
            <v>1074010</v>
          </cell>
          <cell r="N45">
            <v>4326085.96</v>
          </cell>
          <cell r="O45">
            <v>1074010</v>
          </cell>
        </row>
        <row r="46">
          <cell r="A46">
            <v>531000</v>
          </cell>
          <cell r="B46" t="str">
            <v>Miscellanous expenses</v>
          </cell>
          <cell r="D46">
            <v>339557.13</v>
          </cell>
          <cell r="E46">
            <v>594581.83</v>
          </cell>
          <cell r="F46">
            <v>255024.69999999995</v>
          </cell>
          <cell r="G46">
            <v>1247123.43</v>
          </cell>
          <cell r="H46">
            <v>652541.6</v>
          </cell>
          <cell r="I46">
            <v>1889596.4300000002</v>
          </cell>
          <cell r="J46">
            <v>642473.0000000002</v>
          </cell>
          <cell r="N46">
            <v>1889596.4300000002</v>
          </cell>
          <cell r="O46">
            <v>642473.0000000002</v>
          </cell>
        </row>
        <row r="47">
          <cell r="A47">
            <v>551190</v>
          </cell>
          <cell r="B47" t="str">
            <v>Provision  finish goods for  sale</v>
          </cell>
        </row>
        <row r="48">
          <cell r="A48">
            <v>524000</v>
          </cell>
          <cell r="B48" t="str">
            <v>Toll manufacture</v>
          </cell>
        </row>
        <row r="50">
          <cell r="B50" t="str">
            <v>TOTAL VARIABLE FACTORY OVERHEAD</v>
          </cell>
          <cell r="D50">
            <v>39633288.2</v>
          </cell>
          <cell r="E50">
            <v>78546297.44</v>
          </cell>
          <cell r="F50">
            <v>38913009.239999995</v>
          </cell>
          <cell r="G50">
            <v>120107471.08</v>
          </cell>
          <cell r="H50">
            <v>41561173.64</v>
          </cell>
          <cell r="I50">
            <v>160717378.94000003</v>
          </cell>
          <cell r="J50">
            <v>40609907.86</v>
          </cell>
          <cell r="L50">
            <v>0</v>
          </cell>
          <cell r="M50">
            <v>0</v>
          </cell>
          <cell r="N50">
            <v>160717378.94000003</v>
          </cell>
          <cell r="O50">
            <v>40609907.86</v>
          </cell>
        </row>
        <row r="54">
          <cell r="B54" t="str">
            <v>Total Factory overhead</v>
          </cell>
          <cell r="D54">
            <v>53074168.85</v>
          </cell>
          <cell r="E54">
            <v>105696915.03999999</v>
          </cell>
          <cell r="F54">
            <v>52622746.19</v>
          </cell>
          <cell r="G54">
            <v>162573665.79</v>
          </cell>
          <cell r="H54">
            <v>56876750.75</v>
          </cell>
          <cell r="I54">
            <v>216752645.56000003</v>
          </cell>
          <cell r="J54">
            <v>54178979.77</v>
          </cell>
          <cell r="L54">
            <v>0</v>
          </cell>
          <cell r="M54">
            <v>0</v>
          </cell>
          <cell r="N54">
            <v>216752645.56000003</v>
          </cell>
          <cell r="O54">
            <v>54178979.77</v>
          </cell>
        </row>
      </sheetData>
      <sheetData sheetId="20">
        <row r="8">
          <cell r="A8">
            <v>550200</v>
          </cell>
          <cell r="B8" t="str">
            <v>Storage and Transportation</v>
          </cell>
          <cell r="D8">
            <v>3870230</v>
          </cell>
          <cell r="E8">
            <v>7276832</v>
          </cell>
          <cell r="F8">
            <v>3406602</v>
          </cell>
          <cell r="G8">
            <v>10750256</v>
          </cell>
          <cell r="H8">
            <v>3473424</v>
          </cell>
          <cell r="I8">
            <v>13606344</v>
          </cell>
          <cell r="J8">
            <v>2856088</v>
          </cell>
          <cell r="N8">
            <v>13606344</v>
          </cell>
          <cell r="O8">
            <v>2856088</v>
          </cell>
        </row>
        <row r="9">
          <cell r="A9">
            <v>550210</v>
          </cell>
          <cell r="B9" t="str">
            <v>Freight</v>
          </cell>
          <cell r="D9">
            <v>4662043.39</v>
          </cell>
          <cell r="E9">
            <v>8989795.8</v>
          </cell>
          <cell r="F9">
            <v>4327752.410000001</v>
          </cell>
          <cell r="G9">
            <v>13395669.65</v>
          </cell>
          <cell r="H9">
            <v>4405873.85</v>
          </cell>
          <cell r="I9">
            <v>18144209.24</v>
          </cell>
          <cell r="J9">
            <v>4748539.589999998</v>
          </cell>
          <cell r="N9">
            <v>18144209.24</v>
          </cell>
          <cell r="O9">
            <v>4748539.589999998</v>
          </cell>
        </row>
        <row r="10">
          <cell r="A10">
            <v>550220</v>
          </cell>
          <cell r="B10" t="str">
            <v>Finished Goods Insurance</v>
          </cell>
          <cell r="D10">
            <v>68776.41</v>
          </cell>
          <cell r="E10">
            <v>172978.24</v>
          </cell>
          <cell r="F10">
            <v>104201.82999999999</v>
          </cell>
          <cell r="G10">
            <v>229376.36</v>
          </cell>
          <cell r="H10">
            <v>56398.119999999995</v>
          </cell>
          <cell r="I10">
            <v>254350.61</v>
          </cell>
          <cell r="J10">
            <v>24974.25</v>
          </cell>
          <cell r="N10">
            <v>254350.61</v>
          </cell>
          <cell r="O10">
            <v>24974.25</v>
          </cell>
        </row>
        <row r="11">
          <cell r="A11">
            <v>550230</v>
          </cell>
          <cell r="B11" t="str">
            <v>Investigation and Inspection</v>
          </cell>
          <cell r="D11">
            <v>8500</v>
          </cell>
          <cell r="E11">
            <v>21162.77</v>
          </cell>
          <cell r="F11">
            <v>12662.77</v>
          </cell>
          <cell r="G11">
            <v>23662.77</v>
          </cell>
          <cell r="H11">
            <v>2500</v>
          </cell>
          <cell r="I11">
            <v>27162.77</v>
          </cell>
          <cell r="J11">
            <v>3500</v>
          </cell>
          <cell r="N11">
            <v>27162.77</v>
          </cell>
          <cell r="O11">
            <v>3500</v>
          </cell>
        </row>
        <row r="12">
          <cell r="A12">
            <v>550240</v>
          </cell>
          <cell r="B12" t="str">
            <v>Advertising and Promotion </v>
          </cell>
          <cell r="D12">
            <v>1220373.77</v>
          </cell>
          <cell r="E12">
            <v>2944298.84</v>
          </cell>
          <cell r="F12">
            <v>1723925.0699999998</v>
          </cell>
          <cell r="G12">
            <v>3039927.05</v>
          </cell>
          <cell r="H12">
            <v>95628.20999999996</v>
          </cell>
          <cell r="I12">
            <v>4067507.0700000003</v>
          </cell>
          <cell r="J12">
            <v>1027580.0200000005</v>
          </cell>
          <cell r="N12">
            <v>4067507.0700000003</v>
          </cell>
          <cell r="O12">
            <v>1027580.0200000005</v>
          </cell>
        </row>
        <row r="13">
          <cell r="A13">
            <v>550250</v>
          </cell>
          <cell r="B13" t="str">
            <v>Commissions   -   Domestic</v>
          </cell>
          <cell r="D13">
            <v>255301.75</v>
          </cell>
          <cell r="E13">
            <v>362507.75</v>
          </cell>
          <cell r="F13">
            <v>107206</v>
          </cell>
          <cell r="G13">
            <v>413622.42</v>
          </cell>
          <cell r="H13">
            <v>51114.669999999984</v>
          </cell>
          <cell r="I13">
            <v>526550.9400000001</v>
          </cell>
          <cell r="J13">
            <v>112928.52000000008</v>
          </cell>
          <cell r="N13">
            <v>526550.9400000001</v>
          </cell>
          <cell r="O13">
            <v>112928.52000000008</v>
          </cell>
        </row>
        <row r="14">
          <cell r="A14">
            <v>550251</v>
          </cell>
          <cell r="B14" t="str">
            <v>Commissions   -   Export</v>
          </cell>
          <cell r="D14">
            <v>2090126.86</v>
          </cell>
          <cell r="E14">
            <v>4138131.8</v>
          </cell>
          <cell r="F14">
            <v>2048004.9399999997</v>
          </cell>
          <cell r="G14">
            <v>4884108.65</v>
          </cell>
          <cell r="H14">
            <v>745976.8500000006</v>
          </cell>
          <cell r="I14">
            <v>6758426.89</v>
          </cell>
          <cell r="J14">
            <v>1874318.2399999993</v>
          </cell>
          <cell r="N14">
            <v>6758426.89</v>
          </cell>
          <cell r="O14">
            <v>1874318.2399999993</v>
          </cell>
        </row>
        <row r="15">
          <cell r="A15">
            <v>550290</v>
          </cell>
          <cell r="B15" t="str">
            <v>Shipping Expenses</v>
          </cell>
          <cell r="D15">
            <v>412881.94</v>
          </cell>
          <cell r="E15">
            <v>830235.32</v>
          </cell>
          <cell r="F15">
            <v>417353.37999999995</v>
          </cell>
          <cell r="G15">
            <v>1276998.67</v>
          </cell>
          <cell r="H15">
            <v>446763.35</v>
          </cell>
          <cell r="I15">
            <v>1800895.57</v>
          </cell>
          <cell r="J15">
            <v>523896.90000000014</v>
          </cell>
          <cell r="N15">
            <v>1800895.57</v>
          </cell>
          <cell r="O15">
            <v>523896.90000000014</v>
          </cell>
        </row>
        <row r="16">
          <cell r="A16">
            <v>551120</v>
          </cell>
          <cell r="B16" t="str">
            <v>Samples</v>
          </cell>
          <cell r="D16">
            <v>52070.27</v>
          </cell>
          <cell r="E16">
            <v>78546.61</v>
          </cell>
          <cell r="F16">
            <v>26476.340000000004</v>
          </cell>
          <cell r="G16">
            <v>127768.44</v>
          </cell>
          <cell r="H16">
            <v>49221.83</v>
          </cell>
          <cell r="I16">
            <v>336335.14999999997</v>
          </cell>
          <cell r="J16">
            <v>208566.70999999996</v>
          </cell>
          <cell r="N16">
            <v>336335.14999999997</v>
          </cell>
          <cell r="O16">
            <v>208566.70999999996</v>
          </cell>
        </row>
        <row r="17">
          <cell r="A17">
            <v>550190</v>
          </cell>
          <cell r="B17" t="str">
            <v>Entertainments</v>
          </cell>
          <cell r="D17">
            <v>450899.07</v>
          </cell>
          <cell r="E17">
            <v>726502.03</v>
          </cell>
          <cell r="F17">
            <v>275602.96</v>
          </cell>
          <cell r="G17">
            <v>956100.15</v>
          </cell>
          <cell r="H17">
            <v>229598.12</v>
          </cell>
          <cell r="I17">
            <v>1383839.64</v>
          </cell>
          <cell r="J17">
            <v>427739.4899999999</v>
          </cell>
          <cell r="N17">
            <v>1383839.64</v>
          </cell>
          <cell r="O17">
            <v>427739.4899999999</v>
          </cell>
        </row>
        <row r="18">
          <cell r="B18" t="str">
            <v>    TOTAL SELLING EXPENSES</v>
          </cell>
          <cell r="D18">
            <v>13091203.459999999</v>
          </cell>
          <cell r="E18">
            <v>25540991.16</v>
          </cell>
          <cell r="F18">
            <v>12449787.700000001</v>
          </cell>
          <cell r="G18">
            <v>35097490.16</v>
          </cell>
          <cell r="H18">
            <v>9556498.999999998</v>
          </cell>
          <cell r="I18">
            <v>46905621.879999995</v>
          </cell>
          <cell r="J18">
            <v>11808131.719999997</v>
          </cell>
          <cell r="L18">
            <v>0</v>
          </cell>
          <cell r="M18">
            <v>0</v>
          </cell>
          <cell r="N18">
            <v>46905621.879999995</v>
          </cell>
          <cell r="O18">
            <v>11808131.719999997</v>
          </cell>
        </row>
        <row r="21">
          <cell r="B21" t="str">
            <v> ADMINISTRATIVE EXPENSES :-</v>
          </cell>
        </row>
        <row r="22">
          <cell r="A22">
            <v>550110</v>
          </cell>
          <cell r="B22" t="str">
            <v>Salaries and Wage</v>
          </cell>
          <cell r="C22">
            <v>550110</v>
          </cell>
          <cell r="D22">
            <v>6434712.63</v>
          </cell>
          <cell r="E22">
            <v>13006242.73</v>
          </cell>
          <cell r="F22">
            <v>6571530.100000001</v>
          </cell>
          <cell r="G22">
            <v>19503257.22</v>
          </cell>
          <cell r="H22">
            <v>6497014.489999998</v>
          </cell>
          <cell r="I22">
            <v>25659141.25</v>
          </cell>
          <cell r="J22">
            <v>6155884.030000001</v>
          </cell>
          <cell r="N22">
            <v>25659141.25</v>
          </cell>
          <cell r="O22">
            <v>6155884.030000001</v>
          </cell>
        </row>
        <row r="23">
          <cell r="A23">
            <v>550111</v>
          </cell>
          <cell r="B23" t="str">
            <v>Social Security Expenses</v>
          </cell>
          <cell r="C23">
            <v>550111</v>
          </cell>
          <cell r="D23">
            <v>120008</v>
          </cell>
          <cell r="E23">
            <v>240992</v>
          </cell>
          <cell r="F23">
            <v>120984</v>
          </cell>
          <cell r="G23">
            <v>361122</v>
          </cell>
          <cell r="H23">
            <v>120130</v>
          </cell>
          <cell r="I23">
            <v>480675</v>
          </cell>
          <cell r="J23">
            <v>119553</v>
          </cell>
          <cell r="N23">
            <v>480675</v>
          </cell>
          <cell r="O23">
            <v>119553</v>
          </cell>
        </row>
        <row r="24">
          <cell r="A24">
            <v>550112</v>
          </cell>
          <cell r="B24" t="str">
            <v>Provident fund Expenses</v>
          </cell>
          <cell r="C24">
            <v>550112</v>
          </cell>
          <cell r="D24">
            <v>383214.75</v>
          </cell>
          <cell r="E24">
            <v>764338.5</v>
          </cell>
          <cell r="F24">
            <v>381123.75</v>
          </cell>
          <cell r="G24">
            <v>1147423</v>
          </cell>
          <cell r="H24">
            <v>383084.5</v>
          </cell>
          <cell r="I24">
            <v>1535258.5</v>
          </cell>
          <cell r="J24">
            <v>387835.5</v>
          </cell>
          <cell r="N24">
            <v>1535258.5</v>
          </cell>
          <cell r="O24">
            <v>387835.5</v>
          </cell>
        </row>
        <row r="25">
          <cell r="A25">
            <v>550113</v>
          </cell>
          <cell r="B25" t="str">
            <v>Salaries and Wage - Contractor</v>
          </cell>
          <cell r="I25">
            <v>253607.27</v>
          </cell>
          <cell r="J25">
            <v>253607.27</v>
          </cell>
          <cell r="N25">
            <v>253607.27</v>
          </cell>
          <cell r="O25">
            <v>253607.27</v>
          </cell>
        </row>
        <row r="26">
          <cell r="A26">
            <v>550120</v>
          </cell>
          <cell r="B26" t="str">
            <v>Overtime Pay</v>
          </cell>
          <cell r="C26" t="str">
            <v>550120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97339.75</v>
          </cell>
          <cell r="J26">
            <v>97339.75</v>
          </cell>
          <cell r="N26">
            <v>97339.75</v>
          </cell>
          <cell r="O26">
            <v>97339.75</v>
          </cell>
        </row>
        <row r="27">
          <cell r="A27">
            <v>550115</v>
          </cell>
          <cell r="B27" t="str">
            <v>Share Scheme</v>
          </cell>
          <cell r="C27" t="str">
            <v>550115</v>
          </cell>
          <cell r="D27">
            <v>22859.75</v>
          </cell>
          <cell r="E27">
            <v>60179</v>
          </cell>
          <cell r="F27">
            <v>37319.25</v>
          </cell>
          <cell r="G27">
            <v>80225</v>
          </cell>
          <cell r="H27">
            <v>20046</v>
          </cell>
          <cell r="I27">
            <v>1420391.95</v>
          </cell>
          <cell r="J27">
            <v>1340166.95</v>
          </cell>
          <cell r="K27" t="str">
            <v>CJ3, CJ6-7</v>
          </cell>
          <cell r="L27">
            <v>3863160.62</v>
          </cell>
          <cell r="M27">
            <v>535.31</v>
          </cell>
          <cell r="N27">
            <v>5283017.260000001</v>
          </cell>
          <cell r="O27">
            <v>5202792.260000001</v>
          </cell>
        </row>
        <row r="28">
          <cell r="A28">
            <v>550130</v>
          </cell>
          <cell r="B28" t="str">
            <v>Bonus</v>
          </cell>
          <cell r="C28">
            <v>550130</v>
          </cell>
          <cell r="D28">
            <v>1327748.57</v>
          </cell>
          <cell r="E28">
            <v>2670249.91</v>
          </cell>
          <cell r="F28">
            <v>1342501.34</v>
          </cell>
          <cell r="G28">
            <v>4027504.01</v>
          </cell>
          <cell r="H28">
            <v>1357254.0999999996</v>
          </cell>
          <cell r="I28">
            <v>12920470</v>
          </cell>
          <cell r="J28">
            <v>8892965.99</v>
          </cell>
          <cell r="K28" t="str">
            <v>CJ2</v>
          </cell>
          <cell r="L28">
            <v>16722</v>
          </cell>
          <cell r="N28">
            <v>12937192</v>
          </cell>
          <cell r="O28">
            <v>8909687.99</v>
          </cell>
        </row>
        <row r="29">
          <cell r="A29">
            <v>550140</v>
          </cell>
          <cell r="B29" t="str">
            <v>Welfare Expenses</v>
          </cell>
          <cell r="D29">
            <v>0</v>
          </cell>
          <cell r="F29">
            <v>0</v>
          </cell>
          <cell r="G29">
            <v>75700.93</v>
          </cell>
          <cell r="H29">
            <v>75700.93</v>
          </cell>
          <cell r="I29">
            <v>70401.86</v>
          </cell>
          <cell r="J29">
            <v>-5299.069999999992</v>
          </cell>
          <cell r="N29">
            <v>70401.86</v>
          </cell>
          <cell r="O29">
            <v>0</v>
          </cell>
        </row>
        <row r="30">
          <cell r="A30">
            <v>550150</v>
          </cell>
          <cell r="B30" t="str">
            <v>Stamp Tax</v>
          </cell>
          <cell r="C30">
            <v>550150</v>
          </cell>
          <cell r="D30">
            <v>1016</v>
          </cell>
          <cell r="E30">
            <v>1719</v>
          </cell>
          <cell r="F30">
            <v>703</v>
          </cell>
          <cell r="G30">
            <v>3267</v>
          </cell>
          <cell r="H30">
            <v>1548</v>
          </cell>
          <cell r="I30">
            <v>4719</v>
          </cell>
          <cell r="J30">
            <v>1452</v>
          </cell>
          <cell r="N30">
            <v>4719</v>
          </cell>
          <cell r="O30">
            <v>1452</v>
          </cell>
        </row>
        <row r="31">
          <cell r="A31">
            <v>550160</v>
          </cell>
          <cell r="B31" t="str">
            <v>Stationery and Printing</v>
          </cell>
          <cell r="C31">
            <v>550160</v>
          </cell>
          <cell r="D31">
            <v>627796.75</v>
          </cell>
          <cell r="E31">
            <v>1110834.21</v>
          </cell>
          <cell r="F31">
            <v>483037.45999999996</v>
          </cell>
          <cell r="G31">
            <v>1597126.9</v>
          </cell>
          <cell r="H31">
            <v>486292.68999999994</v>
          </cell>
          <cell r="I31">
            <v>2034275.0099999998</v>
          </cell>
          <cell r="J31">
            <v>437148.10999999987</v>
          </cell>
          <cell r="N31">
            <v>2034275.0099999998</v>
          </cell>
          <cell r="O31">
            <v>437148.10999999987</v>
          </cell>
        </row>
        <row r="32">
          <cell r="A32">
            <v>550170</v>
          </cell>
          <cell r="B32" t="str">
            <v>Postage, Telegraph and Telephone</v>
          </cell>
          <cell r="C32">
            <v>550170</v>
          </cell>
          <cell r="D32">
            <v>648439.33</v>
          </cell>
          <cell r="E32">
            <v>1275044.22</v>
          </cell>
          <cell r="F32">
            <v>626604.89</v>
          </cell>
          <cell r="G32">
            <v>1897872.6</v>
          </cell>
          <cell r="H32">
            <v>622828.3800000001</v>
          </cell>
          <cell r="I32">
            <v>2521381.84</v>
          </cell>
          <cell r="J32">
            <v>623509.2399999998</v>
          </cell>
          <cell r="N32">
            <v>2521381.84</v>
          </cell>
          <cell r="O32">
            <v>623509.2399999998</v>
          </cell>
        </row>
        <row r="33">
          <cell r="A33">
            <v>550180</v>
          </cell>
          <cell r="B33" t="str">
            <v>Travelling Expenses</v>
          </cell>
          <cell r="C33">
            <v>550180</v>
          </cell>
          <cell r="D33">
            <v>168685.34</v>
          </cell>
          <cell r="E33">
            <v>491503.55</v>
          </cell>
          <cell r="F33">
            <v>322818.20999999996</v>
          </cell>
          <cell r="G33">
            <v>859451.44</v>
          </cell>
          <cell r="H33">
            <v>367947.88999999996</v>
          </cell>
          <cell r="I33">
            <v>1122110.4100000001</v>
          </cell>
          <cell r="J33">
            <v>262658.9700000002</v>
          </cell>
          <cell r="N33">
            <v>1122110.4100000001</v>
          </cell>
          <cell r="O33">
            <v>262658.9700000002</v>
          </cell>
        </row>
        <row r="34">
          <cell r="A34">
            <v>550182</v>
          </cell>
          <cell r="B34" t="str">
            <v>Secondment Expenses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N34">
            <v>0</v>
          </cell>
          <cell r="O34">
            <v>0</v>
          </cell>
        </row>
        <row r="35">
          <cell r="A35">
            <v>550260</v>
          </cell>
          <cell r="B35" t="str">
            <v>Repair and Maintenance</v>
          </cell>
          <cell r="C35">
            <v>550260</v>
          </cell>
          <cell r="D35">
            <v>169375.9</v>
          </cell>
          <cell r="E35">
            <v>289266.67</v>
          </cell>
          <cell r="F35">
            <v>119890.76999999999</v>
          </cell>
          <cell r="G35">
            <v>451533.69</v>
          </cell>
          <cell r="H35">
            <v>162267.02000000002</v>
          </cell>
          <cell r="I35">
            <v>562623.83</v>
          </cell>
          <cell r="J35">
            <v>111090.13999999996</v>
          </cell>
          <cell r="N35">
            <v>562623.83</v>
          </cell>
          <cell r="O35">
            <v>111090.13999999996</v>
          </cell>
        </row>
        <row r="36">
          <cell r="A36">
            <v>550270</v>
          </cell>
          <cell r="B36" t="str">
            <v>Other Commissions</v>
          </cell>
          <cell r="C36">
            <v>550270</v>
          </cell>
          <cell r="D36">
            <v>93037.32</v>
          </cell>
          <cell r="E36">
            <v>221049.36</v>
          </cell>
          <cell r="F36">
            <v>128012.03999999998</v>
          </cell>
          <cell r="G36">
            <v>296246.83</v>
          </cell>
          <cell r="H36">
            <v>75197.47000000003</v>
          </cell>
          <cell r="I36">
            <v>456040.65</v>
          </cell>
          <cell r="J36">
            <v>159793.82</v>
          </cell>
          <cell r="N36">
            <v>456040.65</v>
          </cell>
          <cell r="O36">
            <v>159793.82</v>
          </cell>
        </row>
        <row r="37">
          <cell r="A37">
            <v>550280</v>
          </cell>
          <cell r="B37" t="str">
            <v>Commision of L/G</v>
          </cell>
          <cell r="C37">
            <v>550280</v>
          </cell>
          <cell r="D37">
            <v>0</v>
          </cell>
          <cell r="E37">
            <v>150000</v>
          </cell>
          <cell r="F37">
            <v>150000</v>
          </cell>
          <cell r="G37">
            <v>41213</v>
          </cell>
          <cell r="H37">
            <v>-108787</v>
          </cell>
          <cell r="I37">
            <v>91628</v>
          </cell>
          <cell r="J37">
            <v>50415</v>
          </cell>
          <cell r="N37">
            <v>91628</v>
          </cell>
          <cell r="O37">
            <v>50415</v>
          </cell>
        </row>
        <row r="38">
          <cell r="A38">
            <v>550300</v>
          </cell>
          <cell r="B38" t="str">
            <v>Petrol</v>
          </cell>
          <cell r="C38">
            <v>550300</v>
          </cell>
          <cell r="D38">
            <v>776024.71</v>
          </cell>
          <cell r="E38">
            <v>1592033.19</v>
          </cell>
          <cell r="F38">
            <v>816008.48</v>
          </cell>
          <cell r="G38">
            <v>2432070.67</v>
          </cell>
          <cell r="H38">
            <v>840037.48</v>
          </cell>
          <cell r="I38">
            <v>3159785.79</v>
          </cell>
          <cell r="J38">
            <v>727715.1200000001</v>
          </cell>
          <cell r="N38">
            <v>3159785.79</v>
          </cell>
          <cell r="O38">
            <v>727715.1200000001</v>
          </cell>
        </row>
        <row r="39">
          <cell r="A39">
            <v>550310</v>
          </cell>
          <cell r="B39" t="str">
            <v>Vehicles Maintenance Expenses</v>
          </cell>
          <cell r="C39">
            <v>550310</v>
          </cell>
          <cell r="D39">
            <v>87437.35</v>
          </cell>
          <cell r="E39">
            <v>164788.28</v>
          </cell>
          <cell r="F39">
            <v>77350.93</v>
          </cell>
          <cell r="G39">
            <v>205120.44</v>
          </cell>
          <cell r="H39">
            <v>40332.16</v>
          </cell>
          <cell r="I39">
            <v>316284.9</v>
          </cell>
          <cell r="J39">
            <v>111164.46000000002</v>
          </cell>
          <cell r="N39">
            <v>316284.9</v>
          </cell>
          <cell r="O39">
            <v>111164.46000000002</v>
          </cell>
        </row>
        <row r="40">
          <cell r="A40">
            <v>550320</v>
          </cell>
          <cell r="B40" t="str">
            <v>Import Duty  ( Previous year )</v>
          </cell>
          <cell r="C40">
            <v>550320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N40">
            <v>0</v>
          </cell>
          <cell r="O40">
            <v>0</v>
          </cell>
        </row>
        <row r="41">
          <cell r="A41">
            <v>550330</v>
          </cell>
          <cell r="B41" t="str">
            <v>Legal and Auditing Expenses</v>
          </cell>
          <cell r="C41">
            <v>550330</v>
          </cell>
          <cell r="D41">
            <v>484280.03</v>
          </cell>
          <cell r="E41">
            <v>1285676.02</v>
          </cell>
          <cell r="F41">
            <v>801395.99</v>
          </cell>
          <cell r="G41">
            <v>1798848.01</v>
          </cell>
          <cell r="H41">
            <v>513171.99</v>
          </cell>
          <cell r="I41">
            <v>2203728</v>
          </cell>
          <cell r="J41">
            <v>404879.99</v>
          </cell>
          <cell r="N41">
            <v>2203728</v>
          </cell>
          <cell r="O41">
            <v>404879.99</v>
          </cell>
        </row>
        <row r="42">
          <cell r="A42">
            <v>550331</v>
          </cell>
          <cell r="B42" t="str">
            <v>Internal Audit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N42">
            <v>0</v>
          </cell>
          <cell r="O42">
            <v>0</v>
          </cell>
        </row>
        <row r="43">
          <cell r="A43">
            <v>550340</v>
          </cell>
          <cell r="B43" t="str">
            <v>Insurance  -  Asset</v>
          </cell>
          <cell r="C43">
            <v>550340</v>
          </cell>
          <cell r="D43">
            <v>464524.28</v>
          </cell>
          <cell r="E43">
            <v>883303.15</v>
          </cell>
          <cell r="F43">
            <v>418778.87</v>
          </cell>
          <cell r="G43">
            <v>1355366.59</v>
          </cell>
          <cell r="H43">
            <v>472063.44000000006</v>
          </cell>
          <cell r="I43">
            <v>1814932.83</v>
          </cell>
          <cell r="J43">
            <v>459566.24</v>
          </cell>
          <cell r="N43">
            <v>1814932.83</v>
          </cell>
          <cell r="O43">
            <v>459566.24</v>
          </cell>
        </row>
        <row r="44">
          <cell r="A44">
            <v>550341</v>
          </cell>
          <cell r="B44" t="str">
            <v>Insurance  - Staff</v>
          </cell>
          <cell r="C44">
            <v>550341</v>
          </cell>
          <cell r="D44">
            <v>501592.79</v>
          </cell>
          <cell r="E44">
            <v>1036748.5</v>
          </cell>
          <cell r="F44">
            <v>535155.71</v>
          </cell>
          <cell r="G44">
            <v>1580465.12</v>
          </cell>
          <cell r="H44">
            <v>543716.6200000001</v>
          </cell>
          <cell r="I44">
            <v>2129358.6500000004</v>
          </cell>
          <cell r="J44">
            <v>548893.5300000003</v>
          </cell>
          <cell r="N44">
            <v>2129358.6500000004</v>
          </cell>
          <cell r="O44">
            <v>548893.5300000003</v>
          </cell>
        </row>
        <row r="45">
          <cell r="A45">
            <v>550350</v>
          </cell>
          <cell r="B45" t="str">
            <v>Bank Commission Expenses</v>
          </cell>
          <cell r="C45">
            <v>550350</v>
          </cell>
          <cell r="D45">
            <v>527917.22</v>
          </cell>
          <cell r="E45">
            <v>915745.61</v>
          </cell>
          <cell r="F45">
            <v>387828.39</v>
          </cell>
          <cell r="G45">
            <v>1377192.14</v>
          </cell>
          <cell r="H45">
            <v>461446.5299999999</v>
          </cell>
          <cell r="I45">
            <v>1925899.18</v>
          </cell>
          <cell r="J45">
            <v>548707.04</v>
          </cell>
          <cell r="N45">
            <v>1925899.18</v>
          </cell>
          <cell r="O45">
            <v>548707.04</v>
          </cell>
        </row>
        <row r="46">
          <cell r="A46">
            <v>550360</v>
          </cell>
          <cell r="B46" t="str">
            <v>Donation</v>
          </cell>
          <cell r="C46">
            <v>550360</v>
          </cell>
          <cell r="D46">
            <v>0</v>
          </cell>
          <cell r="E46">
            <v>18000</v>
          </cell>
          <cell r="F46">
            <v>18000</v>
          </cell>
          <cell r="G46">
            <v>18000</v>
          </cell>
          <cell r="H46">
            <v>0</v>
          </cell>
          <cell r="I46">
            <v>87000</v>
          </cell>
          <cell r="J46">
            <v>69000</v>
          </cell>
          <cell r="N46">
            <v>87000</v>
          </cell>
          <cell r="O46">
            <v>69000</v>
          </cell>
        </row>
        <row r="47">
          <cell r="A47">
            <v>550371</v>
          </cell>
          <cell r="B47" t="str">
            <v>Rental vehical</v>
          </cell>
          <cell r="C47">
            <v>550370</v>
          </cell>
          <cell r="D47">
            <v>488907.64</v>
          </cell>
          <cell r="E47">
            <v>995809.74</v>
          </cell>
          <cell r="F47">
            <v>506902.1</v>
          </cell>
          <cell r="G47">
            <v>1512523.17</v>
          </cell>
          <cell r="H47">
            <v>516713.42999999993</v>
          </cell>
          <cell r="I47">
            <v>1130260.01</v>
          </cell>
          <cell r="J47">
            <v>-382263.1599999999</v>
          </cell>
          <cell r="N47">
            <v>1130260.01</v>
          </cell>
          <cell r="O47">
            <v>-382263.1599999999</v>
          </cell>
        </row>
        <row r="48">
          <cell r="A48">
            <v>550373</v>
          </cell>
          <cell r="B48" t="str">
            <v>Rental office building</v>
          </cell>
          <cell r="I48">
            <v>540000</v>
          </cell>
          <cell r="J48">
            <v>540000</v>
          </cell>
          <cell r="N48">
            <v>540000</v>
          </cell>
          <cell r="O48">
            <v>540000</v>
          </cell>
        </row>
        <row r="49">
          <cell r="A49">
            <v>550374</v>
          </cell>
          <cell r="B49" t="str">
            <v>Rental car park</v>
          </cell>
          <cell r="I49">
            <v>360000</v>
          </cell>
          <cell r="J49">
            <v>360000</v>
          </cell>
          <cell r="N49">
            <v>360000</v>
          </cell>
          <cell r="O49">
            <v>360000</v>
          </cell>
        </row>
        <row r="50">
          <cell r="A50">
            <v>550378</v>
          </cell>
          <cell r="B50" t="str">
            <v>Depreciation - Land and buildings improvements</v>
          </cell>
          <cell r="C50">
            <v>550378</v>
          </cell>
          <cell r="D50">
            <v>41010.35</v>
          </cell>
          <cell r="E50">
            <v>84139.57</v>
          </cell>
          <cell r="F50">
            <v>43129.22000000001</v>
          </cell>
          <cell r="G50">
            <v>127742.75</v>
          </cell>
          <cell r="H50">
            <v>43603.17999999999</v>
          </cell>
          <cell r="I50">
            <v>171731.13</v>
          </cell>
          <cell r="J50">
            <v>43988.380000000005</v>
          </cell>
          <cell r="N50">
            <v>171731.13</v>
          </cell>
          <cell r="O50">
            <v>43988.380000000005</v>
          </cell>
        </row>
        <row r="51">
          <cell r="A51">
            <v>550379</v>
          </cell>
          <cell r="B51" t="str">
            <v>Depreciation - Buildings</v>
          </cell>
          <cell r="C51">
            <v>550379</v>
          </cell>
          <cell r="D51">
            <v>131603.08</v>
          </cell>
          <cell r="E51">
            <v>264668.41</v>
          </cell>
          <cell r="F51">
            <v>133065.33</v>
          </cell>
          <cell r="G51">
            <v>411315.77</v>
          </cell>
          <cell r="H51">
            <v>146647.36000000004</v>
          </cell>
          <cell r="I51">
            <v>554655.93</v>
          </cell>
          <cell r="J51">
            <v>143340.16000000003</v>
          </cell>
          <cell r="N51">
            <v>554655.93</v>
          </cell>
          <cell r="O51">
            <v>143340.16000000003</v>
          </cell>
        </row>
        <row r="52">
          <cell r="A52">
            <v>550380</v>
          </cell>
          <cell r="B52" t="str">
            <v>Depreciation - Office furniture and equipment</v>
          </cell>
          <cell r="C52">
            <v>550380</v>
          </cell>
          <cell r="D52">
            <v>481335.78</v>
          </cell>
          <cell r="E52">
            <v>982889.06</v>
          </cell>
          <cell r="F52">
            <v>501553.28</v>
          </cell>
          <cell r="G52">
            <v>1519751.39</v>
          </cell>
          <cell r="H52">
            <v>536862.3299999998</v>
          </cell>
          <cell r="I52">
            <v>2026261.59</v>
          </cell>
          <cell r="J52">
            <v>506510.2000000002</v>
          </cell>
          <cell r="N52">
            <v>2026261.59</v>
          </cell>
          <cell r="O52">
            <v>506510.2000000002</v>
          </cell>
        </row>
        <row r="53">
          <cell r="A53">
            <v>550381</v>
          </cell>
          <cell r="B53" t="str">
            <v>Depreciation -  Equipment</v>
          </cell>
          <cell r="C53">
            <v>550381</v>
          </cell>
          <cell r="D53">
            <v>337.82</v>
          </cell>
          <cell r="E53">
            <v>679.38</v>
          </cell>
          <cell r="F53">
            <v>341.56</v>
          </cell>
          <cell r="G53">
            <v>1024.7</v>
          </cell>
          <cell r="H53">
            <v>345.32000000000005</v>
          </cell>
          <cell r="I53">
            <v>2815.08</v>
          </cell>
          <cell r="J53">
            <v>1790.3799999999999</v>
          </cell>
          <cell r="N53">
            <v>2815.08</v>
          </cell>
          <cell r="O53">
            <v>1790.3799999999999</v>
          </cell>
        </row>
        <row r="54">
          <cell r="A54">
            <v>550382</v>
          </cell>
          <cell r="B54" t="str">
            <v>Depreciation - Leasehold building improvements</v>
          </cell>
          <cell r="C54">
            <v>550382</v>
          </cell>
          <cell r="D54">
            <v>33896.17</v>
          </cell>
          <cell r="E54">
            <v>68771.15</v>
          </cell>
          <cell r="F54">
            <v>34874.979999999996</v>
          </cell>
          <cell r="G54">
            <v>104277.56</v>
          </cell>
          <cell r="H54">
            <v>35506.41</v>
          </cell>
          <cell r="I54">
            <v>139783.97</v>
          </cell>
          <cell r="J54">
            <v>35506.41</v>
          </cell>
          <cell r="N54">
            <v>139783.97</v>
          </cell>
          <cell r="O54">
            <v>35506.41</v>
          </cell>
        </row>
        <row r="55">
          <cell r="A55">
            <v>550390</v>
          </cell>
          <cell r="B55" t="str">
            <v>Depreciation - Vehicles</v>
          </cell>
          <cell r="C55">
            <v>550390</v>
          </cell>
          <cell r="D55">
            <v>464578.55</v>
          </cell>
          <cell r="E55">
            <v>869138.6</v>
          </cell>
          <cell r="F55">
            <v>404560.05</v>
          </cell>
          <cell r="G55">
            <v>1324845.17</v>
          </cell>
          <cell r="H55">
            <v>455706.56999999995</v>
          </cell>
          <cell r="I55">
            <v>1797977.42</v>
          </cell>
          <cell r="J55">
            <v>473132.25</v>
          </cell>
          <cell r="N55">
            <v>1797977.42</v>
          </cell>
          <cell r="O55">
            <v>473132.25</v>
          </cell>
        </row>
        <row r="56">
          <cell r="A56">
            <v>550400</v>
          </cell>
          <cell r="B56" t="str">
            <v>Signboard Tax</v>
          </cell>
          <cell r="C56">
            <v>550400</v>
          </cell>
          <cell r="D56">
            <v>51600</v>
          </cell>
          <cell r="E56">
            <v>51600</v>
          </cell>
          <cell r="F56">
            <v>0</v>
          </cell>
          <cell r="G56">
            <v>51600</v>
          </cell>
          <cell r="H56">
            <v>0</v>
          </cell>
          <cell r="I56">
            <v>51600</v>
          </cell>
          <cell r="J56">
            <v>0</v>
          </cell>
          <cell r="N56">
            <v>51600</v>
          </cell>
          <cell r="O56">
            <v>0</v>
          </cell>
        </row>
        <row r="57">
          <cell r="A57">
            <v>550410</v>
          </cell>
          <cell r="B57" t="str">
            <v>Training and Seminar</v>
          </cell>
          <cell r="C57">
            <v>550410</v>
          </cell>
          <cell r="D57">
            <v>67349.06</v>
          </cell>
          <cell r="E57">
            <v>198428.04</v>
          </cell>
          <cell r="F57">
            <v>131078.98</v>
          </cell>
          <cell r="G57">
            <v>901002.56</v>
          </cell>
          <cell r="H57">
            <v>702574.52</v>
          </cell>
          <cell r="I57">
            <v>1508366.56</v>
          </cell>
          <cell r="J57">
            <v>607364</v>
          </cell>
          <cell r="N57">
            <v>1508366.56</v>
          </cell>
          <cell r="O57">
            <v>607364</v>
          </cell>
        </row>
        <row r="58">
          <cell r="A58">
            <v>550430</v>
          </cell>
          <cell r="B58" t="str">
            <v>Apply for SET expenses</v>
          </cell>
          <cell r="C58">
            <v>550430</v>
          </cell>
          <cell r="D58">
            <v>44937.12</v>
          </cell>
          <cell r="E58">
            <v>90373.56</v>
          </cell>
          <cell r="F58">
            <v>45436.439999999995</v>
          </cell>
          <cell r="G58">
            <v>136309.26</v>
          </cell>
          <cell r="H58">
            <v>45935.70000000001</v>
          </cell>
          <cell r="I58">
            <v>182245</v>
          </cell>
          <cell r="J58">
            <v>45935.73999999999</v>
          </cell>
          <cell r="N58">
            <v>182245</v>
          </cell>
          <cell r="O58">
            <v>45935.73999999999</v>
          </cell>
        </row>
        <row r="59">
          <cell r="A59">
            <v>550440</v>
          </cell>
          <cell r="B59" t="str">
            <v>Public Relation Expenses</v>
          </cell>
          <cell r="E59">
            <v>0</v>
          </cell>
          <cell r="F59">
            <v>0</v>
          </cell>
          <cell r="H59">
            <v>0</v>
          </cell>
          <cell r="I59">
            <v>0</v>
          </cell>
          <cell r="J59">
            <v>0</v>
          </cell>
          <cell r="N59">
            <v>0</v>
          </cell>
          <cell r="O59">
            <v>0</v>
          </cell>
        </row>
        <row r="60">
          <cell r="A60">
            <v>550450</v>
          </cell>
          <cell r="B60" t="str">
            <v>Underwriting Fees amortization</v>
          </cell>
          <cell r="C60">
            <v>550450</v>
          </cell>
          <cell r="D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N60">
            <v>0</v>
          </cell>
          <cell r="O60">
            <v>0</v>
          </cell>
        </row>
        <row r="61">
          <cell r="A61">
            <v>550460</v>
          </cell>
          <cell r="B61" t="str">
            <v>Claim for goods sold</v>
          </cell>
          <cell r="C61">
            <v>550460</v>
          </cell>
          <cell r="D61">
            <v>737619.95</v>
          </cell>
          <cell r="E61">
            <v>1332326.25</v>
          </cell>
          <cell r="F61">
            <v>594706.3</v>
          </cell>
          <cell r="G61">
            <v>2437872.88</v>
          </cell>
          <cell r="H61">
            <v>1105546.63</v>
          </cell>
          <cell r="I61">
            <v>4386926.37</v>
          </cell>
          <cell r="J61">
            <v>1949053.4900000002</v>
          </cell>
          <cell r="N61">
            <v>4386926.37</v>
          </cell>
          <cell r="O61">
            <v>1949053.4900000002</v>
          </cell>
        </row>
        <row r="62">
          <cell r="A62">
            <v>550470</v>
          </cell>
          <cell r="B62" t="str">
            <v>Gift</v>
          </cell>
          <cell r="F62">
            <v>0</v>
          </cell>
          <cell r="H62">
            <v>0</v>
          </cell>
          <cell r="I62">
            <v>0</v>
          </cell>
          <cell r="J62">
            <v>0</v>
          </cell>
          <cell r="N62">
            <v>0</v>
          </cell>
          <cell r="O62">
            <v>0</v>
          </cell>
        </row>
        <row r="63">
          <cell r="A63">
            <v>550480</v>
          </cell>
          <cell r="B63" t="str">
            <v>Common Stock Fees</v>
          </cell>
          <cell r="C63">
            <v>550480</v>
          </cell>
          <cell r="D63">
            <v>4477.75</v>
          </cell>
          <cell r="E63">
            <v>36332.25</v>
          </cell>
          <cell r="F63">
            <v>31854.5</v>
          </cell>
          <cell r="G63">
            <v>36332.25</v>
          </cell>
          <cell r="H63">
            <v>0</v>
          </cell>
          <cell r="I63">
            <v>36377.25</v>
          </cell>
          <cell r="J63">
            <v>45</v>
          </cell>
          <cell r="N63">
            <v>36377.25</v>
          </cell>
          <cell r="O63">
            <v>45</v>
          </cell>
        </row>
        <row r="64">
          <cell r="A64">
            <v>550490</v>
          </cell>
          <cell r="B64" t="str">
            <v>Amortization on Assets</v>
          </cell>
          <cell r="C64">
            <v>550490</v>
          </cell>
          <cell r="D64">
            <v>1</v>
          </cell>
          <cell r="E64">
            <v>9898.21</v>
          </cell>
          <cell r="F64">
            <v>9897.21</v>
          </cell>
          <cell r="G64">
            <v>9898.21</v>
          </cell>
          <cell r="H64">
            <v>0</v>
          </cell>
          <cell r="I64">
            <v>9898.21</v>
          </cell>
          <cell r="J64">
            <v>0</v>
          </cell>
          <cell r="N64">
            <v>9898.21</v>
          </cell>
          <cell r="O64">
            <v>0</v>
          </cell>
        </row>
        <row r="65">
          <cell r="A65">
            <v>550500</v>
          </cell>
          <cell r="B65" t="str">
            <v>Annual Party</v>
          </cell>
          <cell r="F65">
            <v>0</v>
          </cell>
          <cell r="H65">
            <v>0</v>
          </cell>
          <cell r="I65">
            <v>0</v>
          </cell>
          <cell r="J65">
            <v>0</v>
          </cell>
          <cell r="N65">
            <v>0</v>
          </cell>
          <cell r="O65">
            <v>0</v>
          </cell>
        </row>
        <row r="66">
          <cell r="A66">
            <v>550600</v>
          </cell>
          <cell r="B66" t="str">
            <v>Not presented VAT. Account</v>
          </cell>
          <cell r="F66">
            <v>0</v>
          </cell>
          <cell r="H66">
            <v>0</v>
          </cell>
          <cell r="I66">
            <v>0</v>
          </cell>
          <cell r="J66">
            <v>0</v>
          </cell>
          <cell r="N66">
            <v>0</v>
          </cell>
          <cell r="O66">
            <v>0</v>
          </cell>
        </row>
        <row r="67">
          <cell r="A67">
            <v>551000</v>
          </cell>
          <cell r="B67" t="str">
            <v>Miscellaneous expenses</v>
          </cell>
          <cell r="C67">
            <v>551000</v>
          </cell>
          <cell r="D67">
            <v>443632.65</v>
          </cell>
          <cell r="E67">
            <v>802244.44</v>
          </cell>
          <cell r="F67">
            <v>358611.7899999999</v>
          </cell>
          <cell r="G67">
            <v>1211548.32</v>
          </cell>
          <cell r="H67">
            <v>409303.8800000001</v>
          </cell>
          <cell r="I67">
            <v>1831758.3000000003</v>
          </cell>
          <cell r="J67">
            <v>620209.9800000002</v>
          </cell>
          <cell r="N67">
            <v>1831758.3000000003</v>
          </cell>
          <cell r="O67">
            <v>620209.9800000002</v>
          </cell>
        </row>
        <row r="68">
          <cell r="A68">
            <v>551101</v>
          </cell>
          <cell r="B68" t="str">
            <v>Bad Debt</v>
          </cell>
          <cell r="C68">
            <v>551101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N68">
            <v>0</v>
          </cell>
          <cell r="O68">
            <v>0</v>
          </cell>
        </row>
        <row r="69">
          <cell r="A69">
            <v>551130</v>
          </cell>
          <cell r="B69" t="str">
            <v>Fine -  Police</v>
          </cell>
          <cell r="C69">
            <v>551130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N69">
            <v>0</v>
          </cell>
          <cell r="O69">
            <v>0</v>
          </cell>
        </row>
        <row r="70">
          <cell r="A70">
            <v>551140</v>
          </cell>
          <cell r="B70" t="str">
            <v>Electricity</v>
          </cell>
          <cell r="C70">
            <v>551140</v>
          </cell>
          <cell r="D70">
            <v>361202.76</v>
          </cell>
          <cell r="E70">
            <v>727867.86</v>
          </cell>
          <cell r="F70">
            <v>366665.1</v>
          </cell>
          <cell r="G70">
            <v>1093689.81</v>
          </cell>
          <cell r="H70">
            <v>365821.95000000007</v>
          </cell>
          <cell r="I70">
            <v>1455831.65</v>
          </cell>
          <cell r="J70">
            <v>362141.83999999985</v>
          </cell>
          <cell r="N70">
            <v>1455831.65</v>
          </cell>
          <cell r="O70">
            <v>362141.83999999985</v>
          </cell>
        </row>
        <row r="71">
          <cell r="A71">
            <v>551141</v>
          </cell>
          <cell r="B71" t="str">
            <v>Water</v>
          </cell>
          <cell r="C71">
            <v>551141</v>
          </cell>
          <cell r="D71">
            <v>2119.98</v>
          </cell>
          <cell r="E71">
            <v>4112.79</v>
          </cell>
          <cell r="F71">
            <v>1992.81</v>
          </cell>
          <cell r="G71">
            <v>6274.8</v>
          </cell>
          <cell r="H71">
            <v>2162.01</v>
          </cell>
          <cell r="I71">
            <v>8948.76</v>
          </cell>
          <cell r="J71">
            <v>2673.96</v>
          </cell>
          <cell r="N71">
            <v>8948.76</v>
          </cell>
          <cell r="O71">
            <v>2673.96</v>
          </cell>
        </row>
        <row r="72">
          <cell r="A72">
            <v>551160</v>
          </cell>
          <cell r="B72" t="str">
            <v>Shareholders Meeting Expenses</v>
          </cell>
          <cell r="C72">
            <v>551160</v>
          </cell>
          <cell r="D72">
            <v>0</v>
          </cell>
          <cell r="E72">
            <v>15000</v>
          </cell>
          <cell r="F72">
            <v>15000</v>
          </cell>
          <cell r="G72">
            <v>15000</v>
          </cell>
          <cell r="H72">
            <v>0</v>
          </cell>
          <cell r="I72">
            <v>15000</v>
          </cell>
          <cell r="J72">
            <v>0</v>
          </cell>
          <cell r="N72">
            <v>15000</v>
          </cell>
          <cell r="O72">
            <v>0</v>
          </cell>
        </row>
        <row r="73">
          <cell r="A73">
            <v>551180</v>
          </cell>
          <cell r="B73" t="str">
            <v>Safety Health Enviroenment  Expenses</v>
          </cell>
          <cell r="C73">
            <v>551180</v>
          </cell>
          <cell r="D73">
            <v>128008.43</v>
          </cell>
          <cell r="E73">
            <v>285926.68</v>
          </cell>
          <cell r="F73">
            <v>157918.25</v>
          </cell>
          <cell r="G73">
            <v>433929.48</v>
          </cell>
          <cell r="H73">
            <v>148002.8</v>
          </cell>
          <cell r="I73">
            <v>521929.48</v>
          </cell>
          <cell r="J73">
            <v>88000</v>
          </cell>
          <cell r="N73">
            <v>521929.48</v>
          </cell>
          <cell r="O73">
            <v>88000</v>
          </cell>
        </row>
        <row r="74">
          <cell r="A74">
            <v>551183</v>
          </cell>
          <cell r="B74" t="str">
            <v>Project AIM Expenses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N74">
            <v>0</v>
          </cell>
          <cell r="O74">
            <v>0</v>
          </cell>
        </row>
        <row r="75">
          <cell r="A75">
            <v>551184</v>
          </cell>
          <cell r="B75" t="str">
            <v>ค่าใช้จ่ายเกี่ยวกับ Plant move project</v>
          </cell>
          <cell r="D75">
            <v>163800.49</v>
          </cell>
          <cell r="E75">
            <v>389940.29</v>
          </cell>
          <cell r="F75">
            <v>226139.8</v>
          </cell>
          <cell r="G75">
            <v>649201.16</v>
          </cell>
          <cell r="H75">
            <v>259260.87000000005</v>
          </cell>
          <cell r="I75">
            <v>906716.09</v>
          </cell>
          <cell r="J75">
            <v>257514.92999999993</v>
          </cell>
          <cell r="N75">
            <v>906716.09</v>
          </cell>
          <cell r="O75">
            <v>257514.92999999993</v>
          </cell>
        </row>
        <row r="76">
          <cell r="A76">
            <v>560170</v>
          </cell>
          <cell r="B76" t="str">
            <v>Others expenses</v>
          </cell>
          <cell r="F76">
            <v>0</v>
          </cell>
          <cell r="H76">
            <v>0</v>
          </cell>
          <cell r="I76">
            <v>0</v>
          </cell>
          <cell r="J76">
            <v>0</v>
          </cell>
          <cell r="N76">
            <v>0</v>
          </cell>
          <cell r="O76">
            <v>0</v>
          </cell>
        </row>
        <row r="77">
          <cell r="A77">
            <v>551110</v>
          </cell>
          <cell r="B77" t="str">
            <v>Adjustment from Legal - others</v>
          </cell>
          <cell r="D77">
            <v>96648.59</v>
          </cell>
          <cell r="E77">
            <v>201746.73</v>
          </cell>
          <cell r="F77">
            <v>105098.14000000001</v>
          </cell>
          <cell r="G77">
            <v>389540.53</v>
          </cell>
          <cell r="H77">
            <v>187793.80000000002</v>
          </cell>
          <cell r="I77">
            <v>706139.22</v>
          </cell>
          <cell r="J77">
            <v>316598.68999999994</v>
          </cell>
          <cell r="N77">
            <v>706139.22</v>
          </cell>
          <cell r="O77">
            <v>311299.62</v>
          </cell>
        </row>
        <row r="78">
          <cell r="A78">
            <v>551111</v>
          </cell>
          <cell r="B78" t="str">
            <v>Adjustment from Legal - leasing vehicle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  <cell r="N78">
            <v>0</v>
          </cell>
          <cell r="O78">
            <v>0</v>
          </cell>
        </row>
        <row r="79">
          <cell r="A79">
            <v>551112</v>
          </cell>
          <cell r="B79" t="str">
            <v>Fine</v>
          </cell>
          <cell r="D79">
            <v>2.24</v>
          </cell>
          <cell r="E79">
            <v>154.88</v>
          </cell>
          <cell r="F79">
            <v>152.64</v>
          </cell>
          <cell r="G79">
            <v>161</v>
          </cell>
          <cell r="H79">
            <v>6.1200000000000045</v>
          </cell>
          <cell r="I79">
            <v>207.73</v>
          </cell>
          <cell r="J79">
            <v>46.72999999999999</v>
          </cell>
          <cell r="N79">
            <v>207.73</v>
          </cell>
          <cell r="O79">
            <v>46.72999999999999</v>
          </cell>
        </row>
        <row r="80">
          <cell r="A80" t="str">
            <v>551120-28</v>
          </cell>
          <cell r="B80" t="str">
            <v>Sample goods</v>
          </cell>
          <cell r="F80">
            <v>0</v>
          </cell>
          <cell r="H80">
            <v>0</v>
          </cell>
          <cell r="J80">
            <v>0</v>
          </cell>
          <cell r="N80">
            <v>0</v>
          </cell>
          <cell r="O80">
            <v>0</v>
          </cell>
        </row>
        <row r="81">
          <cell r="A81">
            <v>423000</v>
          </cell>
          <cell r="B81" t="str">
            <v>Loss on Exchange Rate</v>
          </cell>
          <cell r="D81">
            <v>1523847.08</v>
          </cell>
          <cell r="E81">
            <v>6794943.36</v>
          </cell>
          <cell r="F81">
            <v>586097.2800000003</v>
          </cell>
          <cell r="G81">
            <v>7450721.96</v>
          </cell>
          <cell r="H81">
            <v>655778.5999999996</v>
          </cell>
          <cell r="I81">
            <v>9892158.27</v>
          </cell>
          <cell r="J81">
            <v>2441436.3099999996</v>
          </cell>
          <cell r="N81">
            <v>9892158.27</v>
          </cell>
          <cell r="O81">
            <v>2441436.3099999996</v>
          </cell>
        </row>
        <row r="82">
          <cell r="A82">
            <v>423100</v>
          </cell>
          <cell r="B82" t="str">
            <v>Loss on Sales of Assets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N82">
            <v>0</v>
          </cell>
          <cell r="O82">
            <v>0</v>
          </cell>
        </row>
        <row r="83">
          <cell r="A83">
            <v>422202</v>
          </cell>
          <cell r="B83" t="str">
            <v>ส่วนขาดจากการชำระภาษีนำเข้า</v>
          </cell>
          <cell r="F83">
            <v>0</v>
          </cell>
          <cell r="H83">
            <v>0</v>
          </cell>
          <cell r="I83">
            <v>0</v>
          </cell>
          <cell r="J83">
            <v>0</v>
          </cell>
          <cell r="N83">
            <v>0</v>
          </cell>
          <cell r="O83">
            <v>0</v>
          </cell>
        </row>
        <row r="84">
          <cell r="A84">
            <v>551200</v>
          </cell>
          <cell r="B84" t="str">
            <v>Outside  service</v>
          </cell>
          <cell r="D84">
            <v>248730.85</v>
          </cell>
          <cell r="E84">
            <v>492472.82</v>
          </cell>
          <cell r="F84">
            <v>243741.97</v>
          </cell>
          <cell r="G84">
            <v>776398.7</v>
          </cell>
          <cell r="H84">
            <v>283925.87999999995</v>
          </cell>
          <cell r="I84">
            <v>1076919.08</v>
          </cell>
          <cell r="J84">
            <v>300520.3800000001</v>
          </cell>
          <cell r="N84">
            <v>1076919.08</v>
          </cell>
          <cell r="O84">
            <v>300520.3800000001</v>
          </cell>
        </row>
        <row r="85">
          <cell r="A85">
            <v>551201</v>
          </cell>
          <cell r="B85" t="str">
            <v>FCD expenses</v>
          </cell>
          <cell r="D85">
            <v>174897.81</v>
          </cell>
          <cell r="E85">
            <v>259217.85</v>
          </cell>
          <cell r="F85">
            <v>84320.04000000001</v>
          </cell>
          <cell r="G85">
            <v>314717.85</v>
          </cell>
          <cell r="H85">
            <v>55499.99999999997</v>
          </cell>
          <cell r="I85">
            <v>314717.85</v>
          </cell>
          <cell r="J85">
            <v>0</v>
          </cell>
          <cell r="N85">
            <v>314717.85</v>
          </cell>
          <cell r="O85">
            <v>0</v>
          </cell>
        </row>
        <row r="86">
          <cell r="A86">
            <v>551181</v>
          </cell>
          <cell r="B86" t="str">
            <v>Computer Expenses</v>
          </cell>
          <cell r="D86">
            <v>360637.55</v>
          </cell>
          <cell r="E86">
            <v>736703.8</v>
          </cell>
          <cell r="F86">
            <v>376066.25000000006</v>
          </cell>
          <cell r="G86">
            <v>1103359.04</v>
          </cell>
          <cell r="H86">
            <v>366655.24</v>
          </cell>
          <cell r="I86">
            <v>1098605.13</v>
          </cell>
          <cell r="J86">
            <v>-4753.910000000149</v>
          </cell>
          <cell r="N86">
            <v>1098605.13</v>
          </cell>
          <cell r="O86">
            <v>-4753.910000000149</v>
          </cell>
        </row>
        <row r="87">
          <cell r="A87">
            <v>551150</v>
          </cell>
          <cell r="B87" t="str">
            <v>Board of Director Meeting Expenses</v>
          </cell>
          <cell r="D87">
            <v>51780.82</v>
          </cell>
          <cell r="E87">
            <v>104136.98</v>
          </cell>
          <cell r="F87">
            <v>52356.159999999996</v>
          </cell>
          <cell r="G87">
            <v>157068.97999999998</v>
          </cell>
          <cell r="H87">
            <v>52931.999999999985</v>
          </cell>
          <cell r="I87">
            <v>210000</v>
          </cell>
          <cell r="J87">
            <v>52931.02000000002</v>
          </cell>
          <cell r="N87">
            <v>210000</v>
          </cell>
          <cell r="O87">
            <v>52931.01999999999</v>
          </cell>
        </row>
        <row r="90">
          <cell r="B90" t="str">
            <v>Expenses from plant move project</v>
          </cell>
          <cell r="F90">
            <v>0</v>
          </cell>
        </row>
        <row r="91">
          <cell r="B91" t="str">
            <v>Loss of write-off of equipments</v>
          </cell>
          <cell r="F91">
            <v>0</v>
          </cell>
        </row>
        <row r="93">
          <cell r="B93" t="str">
            <v>TOTAL ADMINISTRATIVE EXPENSES </v>
          </cell>
          <cell r="D93">
            <v>18941634.240000002</v>
          </cell>
          <cell r="E93">
            <v>41977236.599999994</v>
          </cell>
          <cell r="F93">
            <v>18350603.360000007</v>
          </cell>
          <cell r="G93">
            <v>61285113.890000015</v>
          </cell>
          <cell r="H93">
            <v>19307877.29</v>
          </cell>
          <cell r="I93">
            <v>91804883.74999999</v>
          </cell>
          <cell r="J93">
            <v>30519769.859999992</v>
          </cell>
          <cell r="L93">
            <v>3879882.62</v>
          </cell>
          <cell r="M93">
            <v>535.31</v>
          </cell>
          <cell r="N93">
            <v>95684231.05999999</v>
          </cell>
          <cell r="O93">
            <v>34399117.17000001</v>
          </cell>
        </row>
        <row r="95">
          <cell r="D95">
            <v>32032837.700000003</v>
          </cell>
          <cell r="E95">
            <v>67518227.75999999</v>
          </cell>
          <cell r="F95">
            <v>30800391.06000001</v>
          </cell>
          <cell r="G95">
            <v>96382604.05000001</v>
          </cell>
          <cell r="H95">
            <v>28864376.29</v>
          </cell>
          <cell r="I95">
            <v>138710505.63</v>
          </cell>
          <cell r="J95">
            <v>42327901.57999999</v>
          </cell>
          <cell r="L95">
            <v>3879882.62</v>
          </cell>
          <cell r="M95">
            <v>535.31</v>
          </cell>
          <cell r="N95">
            <v>142589852.94</v>
          </cell>
          <cell r="O95">
            <v>46207248.89000001</v>
          </cell>
        </row>
        <row r="97">
          <cell r="A97">
            <v>551100</v>
          </cell>
          <cell r="B97" t="str">
            <v>Doubtful  Dept</v>
          </cell>
          <cell r="D97">
            <v>0</v>
          </cell>
          <cell r="F97">
            <v>0</v>
          </cell>
          <cell r="G97">
            <v>254399.5</v>
          </cell>
          <cell r="H97">
            <v>254399.5</v>
          </cell>
          <cell r="I97">
            <v>209132.99</v>
          </cell>
          <cell r="J97">
            <v>-45266.51000000001</v>
          </cell>
          <cell r="N97">
            <v>209132.99</v>
          </cell>
          <cell r="O97">
            <v>-45266.51000000001</v>
          </cell>
        </row>
        <row r="98">
          <cell r="A98">
            <v>551190</v>
          </cell>
          <cell r="B98" t="str">
            <v>Provision  finish goods for  sale</v>
          </cell>
          <cell r="D98">
            <v>0</v>
          </cell>
          <cell r="F98">
            <v>0</v>
          </cell>
          <cell r="H98">
            <v>0</v>
          </cell>
          <cell r="J98">
            <v>0</v>
          </cell>
          <cell r="N98">
            <v>0</v>
          </cell>
          <cell r="O98">
            <v>0</v>
          </cell>
        </row>
        <row r="101">
          <cell r="B101" t="str">
            <v>Total Selling &amp; Admin Expenses</v>
          </cell>
          <cell r="D101">
            <v>32032837.700000003</v>
          </cell>
          <cell r="E101">
            <v>67518227.75999999</v>
          </cell>
          <cell r="F101">
            <v>30800391.06000001</v>
          </cell>
          <cell r="G101">
            <v>96637003.55000001</v>
          </cell>
          <cell r="H101">
            <v>29118775.79</v>
          </cell>
          <cell r="I101">
            <v>138919638.62</v>
          </cell>
          <cell r="J101">
            <v>42282635.06999999</v>
          </cell>
          <cell r="L101">
            <v>3879882.62</v>
          </cell>
          <cell r="M101">
            <v>535.31</v>
          </cell>
          <cell r="N101">
            <v>142798985.93</v>
          </cell>
          <cell r="O101">
            <v>46161982.38000001</v>
          </cell>
        </row>
        <row r="103">
          <cell r="F103" t="str">
            <v>Per detail client</v>
          </cell>
          <cell r="G103">
            <v>110874968.45000002</v>
          </cell>
          <cell r="H103">
            <v>45860152.129999995</v>
          </cell>
        </row>
        <row r="104">
          <cell r="G104">
            <v>-14237964.900000006</v>
          </cell>
          <cell r="H104">
            <v>-16741376.339999996</v>
          </cell>
        </row>
        <row r="105">
          <cell r="C105" t="str">
            <v>Depre</v>
          </cell>
          <cell r="E105">
            <v>2270286.17</v>
          </cell>
          <cell r="F105">
            <v>1117524.4200000002</v>
          </cell>
          <cell r="G105">
            <v>3488957.34</v>
          </cell>
        </row>
        <row r="106">
          <cell r="H106">
            <v>-16741376.339999996</v>
          </cell>
        </row>
        <row r="109">
          <cell r="G109">
            <v>-11156.5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B 2007"/>
      <sheetName val="BS"/>
      <sheetName val="PL"/>
      <sheetName val="Client Adj"/>
      <sheetName val="Audit Adj"/>
      <sheetName val="Cash Flow"/>
      <sheetName val="ControlBS"/>
      <sheetName val="3000"/>
      <sheetName val="3200"/>
      <sheetName val="3300"/>
      <sheetName val="3400"/>
      <sheetName val="3600"/>
      <sheetName val="3700"/>
      <sheetName val="3800"/>
      <sheetName val="4000"/>
      <sheetName val="4100"/>
      <sheetName val="5000"/>
      <sheetName val="Control PL"/>
      <sheetName val="6000"/>
      <sheetName val="6100"/>
      <sheetName val="6100-1"/>
      <sheetName val="6200"/>
      <sheetName val="6300"/>
      <sheetName val="6300-1"/>
      <sheetName val="6500"/>
      <sheetName val="TB"/>
      <sheetName val="CF"/>
      <sheetName val="BS &amp;PL Q3'06"/>
      <sheetName val="PL2006"/>
    </sheetNames>
    <sheetDataSet>
      <sheetData sheetId="2">
        <row r="57">
          <cell r="W57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PL"/>
      <sheetName val="BS"/>
      <sheetName val="CF"/>
      <sheetName val="TAX"/>
      <sheetName val="sheet"/>
      <sheetName val="Sheet3"/>
    </sheetNames>
    <sheetDataSet>
      <sheetData sheetId="1">
        <row r="11">
          <cell r="M11">
            <v>458032.9</v>
          </cell>
        </row>
        <row r="183">
          <cell r="M183">
            <v>57683.06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CHECK"/>
      <sheetName val="Sheet1"/>
      <sheetName val="REC"/>
      <sheetName val="LIAB"/>
      <sheetName val="REV"/>
      <sheetName val="EXPE"/>
      <sheetName val="Sheet5"/>
      <sheetName val="Sheet6"/>
      <sheetName val="Sheet7"/>
      <sheetName val="BS"/>
      <sheetName val="Sheet2"/>
      <sheetName val="Sheet3"/>
      <sheetName val="CAPITAL_N"/>
      <sheetName val="INVEST_N"/>
      <sheetName val="SAGAKU"/>
      <sheetName val="TOUSI"/>
      <sheetName val="INVENT"/>
      <sheetName val="FIXSALES_N"/>
      <sheetName val="FIX_N"/>
      <sheetName val="FIXDED_N"/>
      <sheetName val="ACTABLE"/>
      <sheetName val="CF_KOTEI"/>
      <sheetName val="CF_AS"/>
      <sheetName val="CF_LIAB"/>
      <sheetName val="CFNOTES"/>
      <sheetName val="BSBEG"/>
      <sheetName val="BSREC"/>
      <sheetName val="BSPAY"/>
      <sheetName val="COMMON"/>
      <sheetName val="Sheet13"/>
      <sheetName val="Sheet14"/>
      <sheetName val="Sheet15"/>
      <sheetName val="Sheet16"/>
      <sheetName val="Sheet17"/>
      <sheetName val="Sheet21"/>
      <sheetName val="Sheet22"/>
      <sheetName val="Sheet23"/>
      <sheetName val="Sheet23_2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COMPARATIVE"/>
      <sheetName val="TOKEINOTES"/>
    </sheetNames>
    <sheetDataSet>
      <sheetData sheetId="2">
        <row r="6">
          <cell r="D6" t="str">
            <v>1_THB</v>
          </cell>
        </row>
      </sheetData>
      <sheetData sheetId="29">
        <row r="2">
          <cell r="U2" t="str">
            <v>1027</v>
          </cell>
        </row>
        <row r="11">
          <cell r="E11" t="str">
            <v>YTH</v>
          </cell>
        </row>
        <row r="13">
          <cell r="V13" t="str">
            <v>1028</v>
          </cell>
          <cell r="W13" t="str">
            <v>1028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CHECK"/>
      <sheetName val="Sheet1"/>
      <sheetName val="REC"/>
      <sheetName val="LIAB"/>
      <sheetName val="REV"/>
      <sheetName val="EXPE"/>
      <sheetName val="Sheet5"/>
      <sheetName val="Sheet6"/>
      <sheetName val="Sheet7"/>
      <sheetName val="BS"/>
      <sheetName val="Sheet2"/>
      <sheetName val="Sheet3"/>
      <sheetName val="CAPITAL_N"/>
      <sheetName val="INVEST_N"/>
      <sheetName val="SAGAKU"/>
      <sheetName val="TOUSI"/>
      <sheetName val="INVENT"/>
      <sheetName val="FIXSALES_N"/>
      <sheetName val="FIX_N"/>
      <sheetName val="FIXDED_N"/>
      <sheetName val="ACTABLE"/>
      <sheetName val="CF_KOTEI"/>
      <sheetName val="CF_AS"/>
      <sheetName val="CF_LIAB"/>
      <sheetName val="CFNOTES"/>
      <sheetName val="BSBEG"/>
      <sheetName val="BSPAY"/>
      <sheetName val="BSREC"/>
      <sheetName val="COMMON"/>
      <sheetName val="Sheet13"/>
      <sheetName val="Sheet14"/>
      <sheetName val="Sheet15"/>
      <sheetName val="Sheet16"/>
      <sheetName val="Sheet17"/>
      <sheetName val="Sheet21"/>
      <sheetName val="Sheet22"/>
      <sheetName val="Sheet23"/>
      <sheetName val="Sheet23_2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COMPARATIVE"/>
      <sheetName val="TOKEINOTES"/>
    </sheetNames>
    <sheetDataSet>
      <sheetData sheetId="21">
        <row r="2">
          <cell r="A2">
            <v>11</v>
          </cell>
          <cell r="B2" t="str">
            <v/>
          </cell>
          <cell r="C2" t="str">
            <v>建物-売上原価</v>
          </cell>
          <cell r="D2" t="str">
            <v/>
          </cell>
        </row>
        <row r="3">
          <cell r="A3">
            <v>12</v>
          </cell>
          <cell r="B3" t="str">
            <v/>
          </cell>
          <cell r="C3" t="str">
            <v>構築物-売上原価</v>
          </cell>
          <cell r="D3" t="str">
            <v/>
          </cell>
        </row>
        <row r="4">
          <cell r="A4">
            <v>13</v>
          </cell>
          <cell r="B4" t="str">
            <v/>
          </cell>
          <cell r="C4" t="str">
            <v>機械装置-売上原価</v>
          </cell>
          <cell r="D4" t="str">
            <v/>
          </cell>
        </row>
        <row r="5">
          <cell r="A5">
            <v>14</v>
          </cell>
          <cell r="B5" t="str">
            <v/>
          </cell>
          <cell r="C5" t="str">
            <v>車両運搬具-売上原価</v>
          </cell>
          <cell r="D5" t="str">
            <v/>
          </cell>
        </row>
        <row r="6">
          <cell r="A6">
            <v>15</v>
          </cell>
          <cell r="B6" t="str">
            <v/>
          </cell>
          <cell r="C6" t="str">
            <v>工具器具備品-売上原価</v>
          </cell>
          <cell r="D6" t="str">
            <v/>
          </cell>
        </row>
        <row r="7">
          <cell r="A7">
            <v>16</v>
          </cell>
          <cell r="B7" t="str">
            <v/>
          </cell>
          <cell r="C7" t="str">
            <v>土地-非償却</v>
          </cell>
          <cell r="D7" t="str">
            <v/>
          </cell>
        </row>
        <row r="8">
          <cell r="A8">
            <v>17</v>
          </cell>
          <cell r="B8" t="str">
            <v/>
          </cell>
          <cell r="C8" t="str">
            <v>建設仮勘定-非償却</v>
          </cell>
          <cell r="D8" t="str">
            <v/>
          </cell>
        </row>
        <row r="9">
          <cell r="A9">
            <v>19</v>
          </cell>
          <cell r="B9" t="str">
            <v/>
          </cell>
          <cell r="C9" t="str">
            <v>ソフトウェア-売上原価</v>
          </cell>
          <cell r="D9" t="str">
            <v/>
          </cell>
        </row>
        <row r="10">
          <cell r="C10" t="str">
            <v>その他無形固定資産－売上原価</v>
          </cell>
        </row>
        <row r="11">
          <cell r="A11">
            <v>20</v>
          </cell>
          <cell r="B11" t="str">
            <v/>
          </cell>
          <cell r="C11" t="str">
            <v>長期前払費用-売上原価</v>
          </cell>
          <cell r="D11" t="str">
            <v/>
          </cell>
        </row>
        <row r="12">
          <cell r="A12">
            <v>21</v>
          </cell>
          <cell r="B12" t="str">
            <v/>
          </cell>
          <cell r="C12" t="str">
            <v>建物-販管費</v>
          </cell>
          <cell r="D12" t="str">
            <v/>
          </cell>
        </row>
        <row r="13">
          <cell r="A13">
            <v>22</v>
          </cell>
          <cell r="B13" t="str">
            <v/>
          </cell>
          <cell r="C13" t="str">
            <v>構築物-販管費</v>
          </cell>
          <cell r="D13" t="str">
            <v/>
          </cell>
        </row>
        <row r="14">
          <cell r="A14">
            <v>23</v>
          </cell>
          <cell r="B14" t="str">
            <v/>
          </cell>
          <cell r="C14" t="str">
            <v>機械装置-販管費</v>
          </cell>
          <cell r="D14" t="str">
            <v/>
          </cell>
        </row>
        <row r="15">
          <cell r="A15">
            <v>24</v>
          </cell>
          <cell r="B15" t="str">
            <v/>
          </cell>
          <cell r="C15" t="str">
            <v>車両運搬具-販管費</v>
          </cell>
          <cell r="D15" t="str">
            <v/>
          </cell>
        </row>
        <row r="16">
          <cell r="A16">
            <v>25</v>
          </cell>
          <cell r="B16" t="str">
            <v/>
          </cell>
          <cell r="C16" t="str">
            <v>工具器具備品-販管費</v>
          </cell>
          <cell r="D16" t="str">
            <v/>
          </cell>
        </row>
        <row r="17">
          <cell r="A17">
            <v>29</v>
          </cell>
          <cell r="B17" t="str">
            <v/>
          </cell>
          <cell r="C17" t="str">
            <v>ソフトウェア-販管費</v>
          </cell>
          <cell r="D17" t="str">
            <v/>
          </cell>
        </row>
        <row r="18">
          <cell r="C18" t="str">
            <v>その他無形固定資産－販管費</v>
          </cell>
        </row>
        <row r="19">
          <cell r="A19">
            <v>30</v>
          </cell>
          <cell r="B19" t="str">
            <v/>
          </cell>
          <cell r="C19" t="str">
            <v>長期前払費用-販管費</v>
          </cell>
          <cell r="D19" t="str">
            <v/>
          </cell>
        </row>
      </sheetData>
      <sheetData sheetId="29">
        <row r="13">
          <cell r="L13" t="str">
            <v>YHQ</v>
          </cell>
        </row>
        <row r="14">
          <cell r="L14" t="str">
            <v>AUS</v>
          </cell>
        </row>
        <row r="15">
          <cell r="L15" t="str">
            <v>CYS</v>
          </cell>
        </row>
        <row r="16">
          <cell r="L16" t="str">
            <v>EMB</v>
          </cell>
        </row>
        <row r="17">
          <cell r="L17" t="str">
            <v>HAN-YO</v>
          </cell>
        </row>
        <row r="18">
          <cell r="L18" t="str">
            <v>ITS</v>
          </cell>
        </row>
        <row r="19">
          <cell r="L19" t="str">
            <v>KCA</v>
          </cell>
        </row>
        <row r="20">
          <cell r="L20" t="str">
            <v>KCP</v>
          </cell>
        </row>
        <row r="21">
          <cell r="L21" t="str">
            <v>LAC</v>
          </cell>
        </row>
        <row r="22">
          <cell r="L22" t="str">
            <v>LAS</v>
          </cell>
        </row>
        <row r="23">
          <cell r="L23" t="str">
            <v>LAT</v>
          </cell>
        </row>
        <row r="24">
          <cell r="L24" t="str">
            <v>MAT</v>
          </cell>
        </row>
        <row r="25">
          <cell r="L25" t="str">
            <v>MCC</v>
          </cell>
        </row>
        <row r="26">
          <cell r="L26" t="str">
            <v>MGS</v>
          </cell>
        </row>
        <row r="27">
          <cell r="L27" t="str">
            <v>MIA-SP</v>
          </cell>
        </row>
        <row r="28">
          <cell r="L28" t="str">
            <v>MIA</v>
          </cell>
        </row>
        <row r="29">
          <cell r="L29" t="str">
            <v>NSG</v>
          </cell>
        </row>
        <row r="30">
          <cell r="L30" t="str">
            <v>PEI</v>
          </cell>
        </row>
        <row r="31">
          <cell r="L31" t="str">
            <v>RIV</v>
          </cell>
        </row>
        <row r="32">
          <cell r="L32" t="str">
            <v>SPIN</v>
          </cell>
        </row>
        <row r="33">
          <cell r="L33" t="str">
            <v>STC</v>
          </cell>
        </row>
        <row r="34">
          <cell r="L34" t="str">
            <v>SYC</v>
          </cell>
        </row>
        <row r="35">
          <cell r="L35" t="str">
            <v>TCS</v>
          </cell>
        </row>
        <row r="36">
          <cell r="L36" t="str">
            <v>TSK</v>
          </cell>
        </row>
        <row r="37">
          <cell r="L37" t="str">
            <v>YAS-MHQ</v>
          </cell>
        </row>
        <row r="38">
          <cell r="L38" t="str">
            <v>YAU</v>
          </cell>
        </row>
        <row r="39">
          <cell r="L39" t="str">
            <v>YCA</v>
          </cell>
        </row>
        <row r="40">
          <cell r="L40" t="str">
            <v>YCL</v>
          </cell>
        </row>
        <row r="41">
          <cell r="L41" t="str">
            <v>YCS</v>
          </cell>
        </row>
        <row r="42">
          <cell r="L42" t="str">
            <v>YDC</v>
          </cell>
        </row>
        <row r="43">
          <cell r="L43" t="str">
            <v>YDK</v>
          </cell>
        </row>
        <row r="44">
          <cell r="L44" t="str">
            <v>YEA</v>
          </cell>
        </row>
        <row r="45">
          <cell r="L45" t="str">
            <v>YEF-HQ</v>
          </cell>
        </row>
        <row r="46">
          <cell r="L46" t="str">
            <v>YEM</v>
          </cell>
        </row>
        <row r="47">
          <cell r="L47" t="str">
            <v>YFE</v>
          </cell>
        </row>
        <row r="48">
          <cell r="L48" t="str">
            <v>YGA</v>
          </cell>
        </row>
        <row r="49">
          <cell r="L49" t="str">
            <v>YHC</v>
          </cell>
        </row>
        <row r="50">
          <cell r="L50" t="str">
            <v>YIK</v>
          </cell>
        </row>
        <row r="51">
          <cell r="L51" t="str">
            <v>YIN</v>
          </cell>
        </row>
        <row r="52">
          <cell r="L52" t="str">
            <v>YIS</v>
          </cell>
        </row>
        <row r="53">
          <cell r="L53" t="str">
            <v>YIT</v>
          </cell>
        </row>
        <row r="54">
          <cell r="L54" t="str">
            <v>YKO</v>
          </cell>
        </row>
        <row r="55">
          <cell r="L55" t="str">
            <v>YMB</v>
          </cell>
        </row>
        <row r="56">
          <cell r="L56" t="str">
            <v>YME</v>
          </cell>
        </row>
        <row r="57">
          <cell r="L57" t="str">
            <v>YMF</v>
          </cell>
        </row>
        <row r="58">
          <cell r="L58" t="str">
            <v>YMF-K</v>
          </cell>
        </row>
        <row r="59">
          <cell r="L59" t="str">
            <v>YMX</v>
          </cell>
        </row>
        <row r="60">
          <cell r="L60" t="str">
            <v>FYMX</v>
          </cell>
        </row>
        <row r="61">
          <cell r="L61" t="str">
            <v>YMY</v>
          </cell>
        </row>
        <row r="62">
          <cell r="L62" t="str">
            <v>YPI</v>
          </cell>
        </row>
        <row r="63">
          <cell r="L63" t="str">
            <v>YPK</v>
          </cell>
        </row>
        <row r="64">
          <cell r="L64" t="str">
            <v>YRC</v>
          </cell>
        </row>
        <row r="65">
          <cell r="L65" t="str">
            <v>YRI</v>
          </cell>
        </row>
        <row r="66">
          <cell r="L66" t="str">
            <v>YRU</v>
          </cell>
        </row>
        <row r="67">
          <cell r="L67" t="str">
            <v>YSA</v>
          </cell>
        </row>
        <row r="68">
          <cell r="L68" t="str">
            <v>YSE</v>
          </cell>
        </row>
        <row r="69">
          <cell r="L69" t="str">
            <v>YSH</v>
          </cell>
        </row>
        <row r="70">
          <cell r="L70" t="str">
            <v>YSS</v>
          </cell>
        </row>
        <row r="71">
          <cell r="L71" t="str">
            <v>YSV</v>
          </cell>
        </row>
        <row r="72">
          <cell r="L72" t="str">
            <v>YSW</v>
          </cell>
        </row>
        <row r="73">
          <cell r="L73" t="str">
            <v>YTH</v>
          </cell>
        </row>
        <row r="74">
          <cell r="L74" t="str">
            <v>YTR</v>
          </cell>
        </row>
        <row r="75">
          <cell r="L75" t="str">
            <v>YTR-A</v>
          </cell>
        </row>
        <row r="76">
          <cell r="L76" t="str">
            <v>YTR-H</v>
          </cell>
        </row>
        <row r="77">
          <cell r="L77" t="str">
            <v>YTR-K</v>
          </cell>
        </row>
        <row r="78">
          <cell r="L78" t="str">
            <v>YTR-T</v>
          </cell>
        </row>
        <row r="79">
          <cell r="L79" t="str">
            <v>YTR-U</v>
          </cell>
        </row>
        <row r="80">
          <cell r="L80" t="str">
            <v>YTS</v>
          </cell>
        </row>
        <row r="81">
          <cell r="L81" t="str">
            <v>YTW</v>
          </cell>
        </row>
        <row r="82">
          <cell r="L82" t="str">
            <v>Y-USA</v>
          </cell>
        </row>
        <row r="83">
          <cell r="L83" t="str">
            <v>YXC</v>
          </cell>
        </row>
        <row r="84">
          <cell r="L84" t="str">
            <v>  &lt; Equity Method Affi. &gt;</v>
          </cell>
        </row>
        <row r="85">
          <cell r="L85" t="str">
            <v>ACE</v>
          </cell>
        </row>
        <row r="86">
          <cell r="L86" t="str">
            <v>AIM</v>
          </cell>
        </row>
        <row r="87">
          <cell r="L87" t="str">
            <v>AYC</v>
          </cell>
        </row>
        <row r="88">
          <cell r="L88" t="str">
            <v>INI</v>
          </cell>
        </row>
        <row r="89">
          <cell r="L89" t="str">
            <v>KSH</v>
          </cell>
        </row>
        <row r="90">
          <cell r="L90" t="str">
            <v>MIE</v>
          </cell>
        </row>
        <row r="91">
          <cell r="L91" t="str">
            <v>MTC</v>
          </cell>
        </row>
        <row r="92">
          <cell r="L92" t="str">
            <v>MYM</v>
          </cell>
        </row>
        <row r="93">
          <cell r="L93" t="str">
            <v>OSC</v>
          </cell>
        </row>
        <row r="94">
          <cell r="L94" t="str">
            <v>SML</v>
          </cell>
        </row>
        <row r="95">
          <cell r="L95" t="str">
            <v>SST</v>
          </cell>
        </row>
        <row r="96">
          <cell r="L96" t="str">
            <v>TMX</v>
          </cell>
        </row>
        <row r="97">
          <cell r="L97" t="str">
            <v>TOA</v>
          </cell>
        </row>
        <row r="98">
          <cell r="L98" t="str">
            <v>TSC</v>
          </cell>
        </row>
        <row r="99">
          <cell r="L99" t="str">
            <v>WLS</v>
          </cell>
        </row>
        <row r="100">
          <cell r="L100" t="str">
            <v>YAN</v>
          </cell>
        </row>
        <row r="101">
          <cell r="L101" t="str">
            <v>YBI</v>
          </cell>
        </row>
        <row r="102">
          <cell r="L102" t="str">
            <v>YCE</v>
          </cell>
        </row>
        <row r="103">
          <cell r="L103" t="str">
            <v>YDY</v>
          </cell>
        </row>
        <row r="104">
          <cell r="L104" t="str">
            <v>YEL</v>
          </cell>
        </row>
        <row r="105">
          <cell r="L105" t="str">
            <v>YFD</v>
          </cell>
        </row>
        <row r="106">
          <cell r="L106" t="str">
            <v>YGF</v>
          </cell>
        </row>
        <row r="107">
          <cell r="L107" t="str">
            <v>YIC</v>
          </cell>
        </row>
        <row r="108">
          <cell r="L108" t="str">
            <v>YJC</v>
          </cell>
        </row>
        <row r="109">
          <cell r="L109" t="str">
            <v>YKM</v>
          </cell>
        </row>
        <row r="110">
          <cell r="L110" t="str">
            <v>YORC</v>
          </cell>
        </row>
        <row r="111">
          <cell r="L111" t="str">
            <v>YRL</v>
          </cell>
        </row>
        <row r="112">
          <cell r="L112" t="str">
            <v>YSI</v>
          </cell>
        </row>
        <row r="113">
          <cell r="L113" t="str">
            <v>YSL</v>
          </cell>
        </row>
        <row r="114">
          <cell r="L114" t="str">
            <v>YWT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udit ADJ - 2006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cash flow statment"/>
      <sheetName val="BS"/>
      <sheetName val="3000"/>
      <sheetName val="3200"/>
      <sheetName val="3300"/>
      <sheetName val="3400"/>
      <sheetName val="3500"/>
      <sheetName val="3600"/>
      <sheetName val="3700"/>
      <sheetName val="3800"/>
      <sheetName val="3800(1)"/>
      <sheetName val="4000"/>
      <sheetName val="4100"/>
      <sheetName val="4300"/>
      <sheetName val="4700"/>
      <sheetName val="5000"/>
      <sheetName val="P&amp;L"/>
      <sheetName val="6000"/>
      <sheetName val="6100"/>
      <sheetName val="6100-1"/>
      <sheetName val="6200"/>
      <sheetName val="6300"/>
      <sheetName val="6500"/>
      <sheetName val="SUD"/>
      <sheetName val="Calcorp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  <sheetName val="f-2"/>
      <sheetName val="f-3"/>
      <sheetName val="B-2"/>
      <sheetName val="L-3"/>
      <sheetName val="L-4"/>
      <sheetName val="U-5"/>
      <sheetName val="Z-4"/>
      <sheetName val="AA-6 (2)"/>
      <sheetName val="AA-6"/>
      <sheetName val="NN-6"/>
      <sheetName val="BB-7"/>
      <sheetName val="CC-8"/>
      <sheetName val="CC-9"/>
      <sheetName val="DD-10"/>
      <sheetName val="KK"/>
      <sheetName val="MM"/>
      <sheetName val="10"/>
      <sheetName val="70"/>
      <sheetName val="30"/>
      <sheetName val="30-note"/>
      <sheetName val="40"/>
      <sheetName val="90"/>
      <sheetName val="10-test (revise)"/>
      <sheetName val="10-1 Media"/>
      <sheetName val="10-cut"/>
      <sheetName val="Balance Sheet"/>
      <sheetName val="Statement of Income "/>
      <sheetName val="historical rate"/>
      <sheetName val="ELIMINATE"/>
      <sheetName val="P&amp;L(LENDER)"/>
      <sheetName val="BS(LENDER)"/>
      <sheetName val="RATIO"/>
      <sheetName val="DETAIL RATIO"/>
    </sheetNames>
    <sheetDataSet>
      <sheetData sheetId="24">
        <row r="1">
          <cell r="A1" t="str">
            <v>CARAT MEDIA SERVICES (THAILAND) CO., LTD.</v>
          </cell>
        </row>
        <row r="2">
          <cell r="A2" t="str">
            <v>12.31.01</v>
          </cell>
        </row>
        <row r="3">
          <cell r="A3" t="str">
            <v>MEDIA ANALYTICAL REVIEW</v>
          </cell>
        </row>
        <row r="5">
          <cell r="A5" t="str">
            <v>Customers' name </v>
          </cell>
          <cell r="B5" t="str">
            <v>Carat Media Service</v>
          </cell>
          <cell r="C5" t="str">
            <v>Cost</v>
          </cell>
          <cell r="D5" t="str">
            <v>Sale</v>
          </cell>
          <cell r="E5" t="str">
            <v>Gross Profit(%)</v>
          </cell>
        </row>
      </sheetData>
      <sheetData sheetId="25">
        <row r="1">
          <cell r="A1" t="str">
            <v>CARAT MEDIA SERVICES (THAILAND) CO., LTD.</v>
          </cell>
        </row>
        <row r="2">
          <cell r="A2" t="str">
            <v>12.31.01</v>
          </cell>
        </row>
        <row r="3">
          <cell r="A3" t="str">
            <v>CUT-OFF SALE TEST</v>
          </cell>
          <cell r="C3" t="str">
            <v>Select job sheet from sales report </v>
          </cell>
        </row>
        <row r="5">
          <cell r="A5" t="str">
            <v>No.</v>
          </cell>
          <cell r="B5" t="str">
            <v>Customers' name </v>
          </cell>
          <cell r="D5" t="str">
            <v>Job sheet No.</v>
          </cell>
          <cell r="E5" t="str">
            <v>Sale amount</v>
          </cell>
          <cell r="F5" t="str">
            <v>Cost amount</v>
          </cell>
          <cell r="G5" t="str">
            <v>Handling charge</v>
          </cell>
          <cell r="H5" t="str">
            <v>%</v>
          </cell>
          <cell r="I5" t="str">
            <v>A</v>
          </cell>
          <cell r="J5" t="str">
            <v>B</v>
          </cell>
          <cell r="K5" t="str">
            <v>C</v>
          </cell>
          <cell r="L5" t="str">
            <v>Remark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  <sheetName val="f-2"/>
      <sheetName val="f-3"/>
      <sheetName val="B-2"/>
      <sheetName val="L-3"/>
      <sheetName val="L-4"/>
      <sheetName val="U-5"/>
      <sheetName val="Z-4"/>
      <sheetName val="AA-6 (2)"/>
      <sheetName val="AA-6"/>
      <sheetName val="NN-6"/>
      <sheetName val="BB-7"/>
      <sheetName val="CC-8"/>
      <sheetName val="CC-9"/>
      <sheetName val="DD-10"/>
      <sheetName val="KK"/>
      <sheetName val="MM"/>
      <sheetName val="10"/>
      <sheetName val="70"/>
      <sheetName val="30"/>
      <sheetName val="30-note"/>
      <sheetName val="40"/>
      <sheetName val="90"/>
      <sheetName val="10-test (revise)"/>
      <sheetName val="10-1 Media"/>
      <sheetName val="10-c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Sheet2"/>
      <sheetName val="Sheet3"/>
    </sheetNames>
    <sheetDataSet>
      <sheetData sheetId="0">
        <row r="163">
          <cell r="D163">
            <v>42163509</v>
          </cell>
        </row>
        <row r="164">
          <cell r="D164">
            <v>10341889</v>
          </cell>
        </row>
        <row r="168">
          <cell r="D168">
            <v>0</v>
          </cell>
        </row>
        <row r="169">
          <cell r="D169">
            <v>25771578.57</v>
          </cell>
        </row>
        <row r="170">
          <cell r="D170">
            <v>26788512.810000002</v>
          </cell>
        </row>
        <row r="171">
          <cell r="D171">
            <v>11398316.36</v>
          </cell>
        </row>
        <row r="172">
          <cell r="D172">
            <v>0</v>
          </cell>
        </row>
        <row r="173">
          <cell r="D173">
            <v>54132495.9</v>
          </cell>
        </row>
        <row r="174">
          <cell r="D174">
            <v>16134347.66</v>
          </cell>
        </row>
        <row r="175">
          <cell r="D175">
            <v>2012727.51</v>
          </cell>
        </row>
        <row r="176">
          <cell r="D176">
            <v>0</v>
          </cell>
        </row>
        <row r="177">
          <cell r="D177">
            <v>967639.05</v>
          </cell>
        </row>
        <row r="179">
          <cell r="D179">
            <v>0</v>
          </cell>
        </row>
        <row r="180">
          <cell r="D180">
            <v>321500</v>
          </cell>
        </row>
        <row r="181">
          <cell r="D181">
            <v>32711596.41</v>
          </cell>
        </row>
        <row r="182">
          <cell r="D182">
            <v>31200903.41</v>
          </cell>
        </row>
        <row r="183">
          <cell r="D183">
            <v>12288747.3</v>
          </cell>
        </row>
        <row r="184">
          <cell r="D184">
            <v>942408.01</v>
          </cell>
        </row>
        <row r="185">
          <cell r="D185">
            <v>570830</v>
          </cell>
        </row>
        <row r="186">
          <cell r="D186">
            <v>7387842.8100000005</v>
          </cell>
        </row>
        <row r="187">
          <cell r="D187">
            <v>0</v>
          </cell>
        </row>
        <row r="188">
          <cell r="D188">
            <v>0</v>
          </cell>
        </row>
        <row r="189">
          <cell r="D189">
            <v>4300</v>
          </cell>
        </row>
        <row r="190">
          <cell r="D190">
            <v>60048362.45</v>
          </cell>
        </row>
        <row r="191">
          <cell r="D191">
            <v>403245.81</v>
          </cell>
        </row>
        <row r="192">
          <cell r="D192">
            <v>576200</v>
          </cell>
        </row>
        <row r="193">
          <cell r="D193">
            <v>54916664.78</v>
          </cell>
        </row>
        <row r="194">
          <cell r="D194">
            <v>1195103.23</v>
          </cell>
        </row>
        <row r="195">
          <cell r="D195">
            <v>125709196.66</v>
          </cell>
        </row>
        <row r="196">
          <cell r="D196">
            <v>0</v>
          </cell>
        </row>
        <row r="197">
          <cell r="D197">
            <v>523237.58</v>
          </cell>
        </row>
        <row r="198">
          <cell r="D198">
            <v>9537531.25</v>
          </cell>
        </row>
        <row r="199">
          <cell r="D199">
            <v>0</v>
          </cell>
        </row>
        <row r="200">
          <cell r="D200">
            <v>0</v>
          </cell>
        </row>
        <row r="201">
          <cell r="D201">
            <v>18000</v>
          </cell>
        </row>
        <row r="202">
          <cell r="D202">
            <v>2285527.5</v>
          </cell>
        </row>
        <row r="203">
          <cell r="D203">
            <v>791535</v>
          </cell>
        </row>
        <row r="204">
          <cell r="D204">
            <v>7738715.32</v>
          </cell>
        </row>
        <row r="205">
          <cell r="D205">
            <v>13258371.68</v>
          </cell>
        </row>
        <row r="206">
          <cell r="D206">
            <v>4441873.32</v>
          </cell>
        </row>
        <row r="207">
          <cell r="D207">
            <v>178267.71</v>
          </cell>
        </row>
        <row r="208">
          <cell r="D208">
            <v>216830.41</v>
          </cell>
        </row>
        <row r="209">
          <cell r="D209">
            <v>584216.26</v>
          </cell>
        </row>
        <row r="210">
          <cell r="D210">
            <v>0</v>
          </cell>
        </row>
        <row r="211">
          <cell r="D211">
            <v>209407</v>
          </cell>
        </row>
        <row r="212">
          <cell r="D212">
            <v>2916569.84</v>
          </cell>
        </row>
        <row r="213">
          <cell r="D213">
            <v>4107132.12</v>
          </cell>
        </row>
        <row r="214">
          <cell r="D214">
            <v>607740.92</v>
          </cell>
        </row>
        <row r="215">
          <cell r="D215">
            <v>7589287.47</v>
          </cell>
        </row>
        <row r="216">
          <cell r="D216">
            <v>6571523.33</v>
          </cell>
        </row>
        <row r="217">
          <cell r="D217">
            <v>676615.74</v>
          </cell>
        </row>
        <row r="218">
          <cell r="D218">
            <v>11600</v>
          </cell>
        </row>
        <row r="219">
          <cell r="D219">
            <v>31057.2</v>
          </cell>
        </row>
        <row r="220">
          <cell r="D220">
            <v>50189.62</v>
          </cell>
        </row>
        <row r="221">
          <cell r="D221">
            <v>1320807.18</v>
          </cell>
        </row>
        <row r="222">
          <cell r="D222">
            <v>406106</v>
          </cell>
        </row>
        <row r="223">
          <cell r="D223">
            <v>213400.02</v>
          </cell>
        </row>
        <row r="224">
          <cell r="D224">
            <v>4281232.19</v>
          </cell>
        </row>
        <row r="225">
          <cell r="D225">
            <v>0</v>
          </cell>
        </row>
        <row r="226">
          <cell r="D226">
            <v>663186.09</v>
          </cell>
        </row>
        <row r="227">
          <cell r="D227">
            <v>411808.87</v>
          </cell>
        </row>
        <row r="228">
          <cell r="D228">
            <v>13140</v>
          </cell>
        </row>
        <row r="229">
          <cell r="D229">
            <v>0</v>
          </cell>
        </row>
        <row r="230">
          <cell r="D230">
            <v>6095.93</v>
          </cell>
        </row>
        <row r="231">
          <cell r="D231">
            <v>13234.51</v>
          </cell>
        </row>
        <row r="232">
          <cell r="D232">
            <v>11791.68</v>
          </cell>
        </row>
        <row r="233">
          <cell r="D233">
            <v>20320</v>
          </cell>
        </row>
        <row r="234">
          <cell r="D234">
            <v>4950</v>
          </cell>
        </row>
        <row r="235">
          <cell r="D235">
            <v>0</v>
          </cell>
        </row>
        <row r="236">
          <cell r="D236">
            <v>492472.97</v>
          </cell>
        </row>
        <row r="237">
          <cell r="D237">
            <v>356727.12</v>
          </cell>
        </row>
        <row r="238">
          <cell r="D238">
            <v>691375.86</v>
          </cell>
        </row>
        <row r="239">
          <cell r="D239">
            <v>613955.02</v>
          </cell>
        </row>
        <row r="240">
          <cell r="D240">
            <v>2314489.55</v>
          </cell>
        </row>
        <row r="241">
          <cell r="D241">
            <v>5698937.91</v>
          </cell>
        </row>
        <row r="242">
          <cell r="D242">
            <v>12952899.72</v>
          </cell>
        </row>
        <row r="243">
          <cell r="D243">
            <v>3592284.86</v>
          </cell>
        </row>
        <row r="244">
          <cell r="D244">
            <v>503530.32</v>
          </cell>
        </row>
        <row r="245">
          <cell r="D245">
            <v>1465772.74</v>
          </cell>
        </row>
        <row r="246">
          <cell r="D246">
            <v>13925</v>
          </cell>
        </row>
        <row r="247">
          <cell r="D247">
            <v>0</v>
          </cell>
        </row>
        <row r="248">
          <cell r="D248">
            <v>190495.41</v>
          </cell>
        </row>
        <row r="249">
          <cell r="D249">
            <v>0</v>
          </cell>
        </row>
        <row r="250">
          <cell r="D250">
            <v>621973</v>
          </cell>
        </row>
        <row r="251">
          <cell r="D251">
            <v>88765</v>
          </cell>
        </row>
        <row r="252">
          <cell r="D252">
            <v>0</v>
          </cell>
        </row>
        <row r="253">
          <cell r="D253">
            <v>5836500</v>
          </cell>
        </row>
        <row r="254">
          <cell r="D254">
            <v>0</v>
          </cell>
        </row>
        <row r="255">
          <cell r="D255">
            <v>10312014.96</v>
          </cell>
        </row>
        <row r="256">
          <cell r="D256">
            <v>224897.79</v>
          </cell>
        </row>
        <row r="257">
          <cell r="D257">
            <v>0</v>
          </cell>
        </row>
        <row r="258">
          <cell r="D258">
            <v>0</v>
          </cell>
        </row>
        <row r="259">
          <cell r="D259">
            <v>259554.35</v>
          </cell>
        </row>
        <row r="260">
          <cell r="D260">
            <v>59341.5</v>
          </cell>
        </row>
        <row r="261">
          <cell r="D261">
            <v>0</v>
          </cell>
        </row>
        <row r="262">
          <cell r="D262">
            <v>0</v>
          </cell>
        </row>
        <row r="263">
          <cell r="D263">
            <v>0</v>
          </cell>
        </row>
        <row r="265">
          <cell r="D265">
            <v>0</v>
          </cell>
        </row>
        <row r="266">
          <cell r="D266">
            <v>-19453472.41</v>
          </cell>
        </row>
        <row r="267">
          <cell r="D267">
            <v>-12513504.3</v>
          </cell>
        </row>
        <row r="268">
          <cell r="D268">
            <v>-7172660.69</v>
          </cell>
        </row>
        <row r="269">
          <cell r="D269">
            <v>0</v>
          </cell>
        </row>
        <row r="270">
          <cell r="D270">
            <v>-32486762.98</v>
          </cell>
        </row>
        <row r="271">
          <cell r="D271">
            <v>-5781510.19</v>
          </cell>
        </row>
        <row r="272">
          <cell r="D272">
            <v>-1521738.57</v>
          </cell>
        </row>
        <row r="273">
          <cell r="D273">
            <v>0</v>
          </cell>
        </row>
        <row r="274">
          <cell r="D274">
            <v>-748656.81</v>
          </cell>
        </row>
        <row r="275">
          <cell r="D275">
            <v>0</v>
          </cell>
        </row>
        <row r="276">
          <cell r="D276">
            <v>0</v>
          </cell>
        </row>
        <row r="277">
          <cell r="D277">
            <v>-321485</v>
          </cell>
        </row>
        <row r="278">
          <cell r="D278">
            <v>-26214477.05</v>
          </cell>
        </row>
        <row r="279">
          <cell r="D279">
            <v>-30804287.42</v>
          </cell>
        </row>
        <row r="280">
          <cell r="D280">
            <v>-11137402.65</v>
          </cell>
        </row>
        <row r="281">
          <cell r="D281">
            <v>-940787.69</v>
          </cell>
        </row>
        <row r="282">
          <cell r="D282">
            <v>-426436.43</v>
          </cell>
        </row>
        <row r="283">
          <cell r="D283">
            <v>-7275534.0600000005</v>
          </cell>
        </row>
        <row r="284">
          <cell r="D284">
            <v>0</v>
          </cell>
        </row>
        <row r="285">
          <cell r="D285">
            <v>0</v>
          </cell>
        </row>
        <row r="286">
          <cell r="D286">
            <v>-4299</v>
          </cell>
        </row>
        <row r="287">
          <cell r="D287">
            <v>-59005840.81</v>
          </cell>
        </row>
        <row r="288">
          <cell r="D288">
            <v>-367114.47</v>
          </cell>
        </row>
        <row r="289">
          <cell r="D289">
            <v>-576199</v>
          </cell>
        </row>
        <row r="290">
          <cell r="D290">
            <v>-50278640.54</v>
          </cell>
        </row>
        <row r="291">
          <cell r="D291">
            <v>-1193924.36</v>
          </cell>
        </row>
        <row r="292">
          <cell r="D292">
            <v>-19179707.29</v>
          </cell>
        </row>
        <row r="293">
          <cell r="D293">
            <v>0</v>
          </cell>
        </row>
        <row r="294">
          <cell r="D294">
            <v>-523236.58</v>
          </cell>
        </row>
        <row r="295">
          <cell r="D295">
            <v>-6861789</v>
          </cell>
        </row>
        <row r="296">
          <cell r="D296">
            <v>0</v>
          </cell>
        </row>
        <row r="297">
          <cell r="D297">
            <v>0</v>
          </cell>
        </row>
        <row r="298">
          <cell r="D298">
            <v>-17999</v>
          </cell>
        </row>
        <row r="299">
          <cell r="D299">
            <v>-2109854.01</v>
          </cell>
        </row>
        <row r="300">
          <cell r="D300">
            <v>-228809</v>
          </cell>
        </row>
        <row r="301">
          <cell r="D301">
            <v>-5725952.08</v>
          </cell>
        </row>
        <row r="302">
          <cell r="D302">
            <v>-7691354.25</v>
          </cell>
        </row>
        <row r="303">
          <cell r="D303">
            <v>-3922870.19</v>
          </cell>
        </row>
        <row r="304">
          <cell r="D304">
            <v>-140123.75</v>
          </cell>
        </row>
        <row r="305">
          <cell r="D305">
            <v>-216823.41</v>
          </cell>
        </row>
        <row r="306">
          <cell r="D306">
            <v>-493920.86</v>
          </cell>
        </row>
        <row r="307">
          <cell r="D307">
            <v>0</v>
          </cell>
        </row>
        <row r="308">
          <cell r="D308">
            <v>-206774.9</v>
          </cell>
        </row>
        <row r="309">
          <cell r="D309">
            <v>-2105849.15</v>
          </cell>
        </row>
        <row r="310">
          <cell r="D310">
            <v>-3466561.25</v>
          </cell>
        </row>
        <row r="311">
          <cell r="D311">
            <v>-601407.46</v>
          </cell>
        </row>
        <row r="312">
          <cell r="D312">
            <v>-6704921.73</v>
          </cell>
        </row>
        <row r="313">
          <cell r="D313">
            <v>-4719425.37</v>
          </cell>
        </row>
        <row r="314">
          <cell r="D314">
            <v>-666373.58</v>
          </cell>
        </row>
        <row r="315">
          <cell r="D315">
            <v>-11597</v>
          </cell>
        </row>
        <row r="316">
          <cell r="D316">
            <v>-31051.2</v>
          </cell>
        </row>
        <row r="317">
          <cell r="D317">
            <v>-38661.83</v>
          </cell>
        </row>
        <row r="318">
          <cell r="D318">
            <v>-880784.86</v>
          </cell>
        </row>
        <row r="319">
          <cell r="D319">
            <v>-268542.2</v>
          </cell>
        </row>
        <row r="320">
          <cell r="D320">
            <v>-153470.16</v>
          </cell>
        </row>
        <row r="321">
          <cell r="D321">
            <v>-1359000.31</v>
          </cell>
        </row>
        <row r="322">
          <cell r="D322">
            <v>0</v>
          </cell>
        </row>
        <row r="323">
          <cell r="D323">
            <v>-478596.04</v>
          </cell>
        </row>
        <row r="324">
          <cell r="D324">
            <v>-327128.14</v>
          </cell>
        </row>
        <row r="325">
          <cell r="D325">
            <v>-10314.57</v>
          </cell>
        </row>
        <row r="326">
          <cell r="D326">
            <v>0</v>
          </cell>
        </row>
        <row r="327">
          <cell r="D327">
            <v>-3274.5</v>
          </cell>
        </row>
        <row r="328">
          <cell r="D328">
            <v>-12196.3</v>
          </cell>
        </row>
        <row r="329">
          <cell r="D329">
            <v>-11787.68</v>
          </cell>
        </row>
        <row r="330">
          <cell r="D330">
            <v>-20316</v>
          </cell>
        </row>
        <row r="331">
          <cell r="D331">
            <v>-4949</v>
          </cell>
        </row>
        <row r="332">
          <cell r="D332">
            <v>0</v>
          </cell>
        </row>
        <row r="333">
          <cell r="D333">
            <v>-388776.06</v>
          </cell>
        </row>
        <row r="334">
          <cell r="D334">
            <v>-266329.06</v>
          </cell>
        </row>
        <row r="335">
          <cell r="D335">
            <v>-580440.14</v>
          </cell>
        </row>
        <row r="336">
          <cell r="D336">
            <v>-467431.28</v>
          </cell>
        </row>
        <row r="337">
          <cell r="D337">
            <v>-1702985.73</v>
          </cell>
        </row>
        <row r="338">
          <cell r="D338">
            <v>-5222108.42</v>
          </cell>
        </row>
        <row r="339">
          <cell r="D339">
            <v>-12392705.58</v>
          </cell>
        </row>
        <row r="340">
          <cell r="D340">
            <v>-3152464.83</v>
          </cell>
        </row>
        <row r="341">
          <cell r="D341">
            <v>-329401.06</v>
          </cell>
        </row>
        <row r="342">
          <cell r="D342">
            <v>-935224.49</v>
          </cell>
        </row>
        <row r="343">
          <cell r="D343">
            <v>-13921</v>
          </cell>
        </row>
        <row r="344">
          <cell r="D344">
            <v>0</v>
          </cell>
        </row>
        <row r="345">
          <cell r="D345">
            <v>-130408.41</v>
          </cell>
        </row>
        <row r="1010">
          <cell r="D1010">
            <v>0</v>
          </cell>
        </row>
        <row r="1011">
          <cell r="D1011">
            <v>320384.4</v>
          </cell>
        </row>
        <row r="1012">
          <cell r="D1012">
            <v>248921.13</v>
          </cell>
        </row>
        <row r="1013">
          <cell r="D1013">
            <v>84105.48</v>
          </cell>
        </row>
        <row r="1014">
          <cell r="D1014">
            <v>0</v>
          </cell>
        </row>
        <row r="1015">
          <cell r="D1015">
            <v>0</v>
          </cell>
        </row>
        <row r="1016">
          <cell r="D1016">
            <v>0</v>
          </cell>
        </row>
        <row r="1017">
          <cell r="D1017">
            <v>629868.3</v>
          </cell>
        </row>
        <row r="1018">
          <cell r="D1018">
            <v>105707.11</v>
          </cell>
        </row>
        <row r="1019">
          <cell r="D1019">
            <v>96789.18</v>
          </cell>
        </row>
        <row r="1020">
          <cell r="D1020">
            <v>139.26</v>
          </cell>
        </row>
        <row r="1021">
          <cell r="D1021">
            <v>0</v>
          </cell>
        </row>
        <row r="1022">
          <cell r="D1022">
            <v>12224.22</v>
          </cell>
        </row>
        <row r="1023">
          <cell r="D1023">
            <v>8752.94</v>
          </cell>
        </row>
        <row r="1024">
          <cell r="D1024">
            <v>0</v>
          </cell>
        </row>
        <row r="1025">
          <cell r="D1025">
            <v>0</v>
          </cell>
        </row>
        <row r="1026">
          <cell r="D1026">
            <v>0</v>
          </cell>
        </row>
        <row r="1027">
          <cell r="D1027">
            <v>219799.51</v>
          </cell>
        </row>
        <row r="1028">
          <cell r="D1028">
            <v>2297.06</v>
          </cell>
        </row>
        <row r="1029">
          <cell r="D1029">
            <v>0</v>
          </cell>
        </row>
        <row r="1030">
          <cell r="D1030">
            <v>726743.52</v>
          </cell>
        </row>
        <row r="1031">
          <cell r="D1031">
            <v>472.91</v>
          </cell>
        </row>
        <row r="1032">
          <cell r="D1032">
            <v>983200.92</v>
          </cell>
        </row>
        <row r="1033">
          <cell r="D1033">
            <v>2295799.3</v>
          </cell>
        </row>
        <row r="1034">
          <cell r="D1034">
            <v>0</v>
          </cell>
        </row>
        <row r="1035">
          <cell r="D1035">
            <v>0</v>
          </cell>
        </row>
        <row r="1036">
          <cell r="D1036">
            <v>0</v>
          </cell>
        </row>
        <row r="1037">
          <cell r="D1037">
            <v>0</v>
          </cell>
        </row>
        <row r="1038">
          <cell r="D1038">
            <v>0</v>
          </cell>
        </row>
        <row r="1039">
          <cell r="D1039">
            <v>0</v>
          </cell>
        </row>
        <row r="1040">
          <cell r="D1040">
            <v>19179.35</v>
          </cell>
        </row>
        <row r="1041">
          <cell r="D1041">
            <v>33520.72</v>
          </cell>
        </row>
        <row r="1042">
          <cell r="D1042">
            <v>210961.84</v>
          </cell>
        </row>
        <row r="1043">
          <cell r="D1043">
            <v>404305.57</v>
          </cell>
        </row>
        <row r="1044">
          <cell r="D1044">
            <v>59463.6</v>
          </cell>
        </row>
        <row r="1045">
          <cell r="D1045">
            <v>2414.88</v>
          </cell>
        </row>
        <row r="1046">
          <cell r="D1046">
            <v>0</v>
          </cell>
        </row>
        <row r="1047">
          <cell r="D1047">
            <v>0</v>
          </cell>
        </row>
        <row r="1048">
          <cell r="D1048">
            <v>25273.78</v>
          </cell>
        </row>
        <row r="1049">
          <cell r="D1049">
            <v>0</v>
          </cell>
        </row>
        <row r="1050">
          <cell r="D1050">
            <v>136.91</v>
          </cell>
        </row>
        <row r="1051">
          <cell r="D1051">
            <v>75847.44</v>
          </cell>
        </row>
        <row r="1052">
          <cell r="D1052">
            <v>30916.95</v>
          </cell>
        </row>
        <row r="1053">
          <cell r="D1053">
            <v>347.35</v>
          </cell>
        </row>
        <row r="1054">
          <cell r="D1054">
            <v>110214.25</v>
          </cell>
        </row>
        <row r="1055">
          <cell r="D1055">
            <v>155768.71</v>
          </cell>
        </row>
        <row r="1056">
          <cell r="D1056">
            <v>0</v>
          </cell>
        </row>
        <row r="1057">
          <cell r="D1057">
            <v>0</v>
          </cell>
        </row>
        <row r="1058">
          <cell r="D1058">
            <v>0</v>
          </cell>
        </row>
        <row r="1059">
          <cell r="D1059">
            <v>0</v>
          </cell>
        </row>
        <row r="1060">
          <cell r="D1060">
            <v>25436.15</v>
          </cell>
        </row>
        <row r="1061">
          <cell r="D1061">
            <v>11227.11</v>
          </cell>
        </row>
        <row r="1062">
          <cell r="D1062">
            <v>7190.47</v>
          </cell>
        </row>
        <row r="1063">
          <cell r="D1063">
            <v>120605.88</v>
          </cell>
        </row>
        <row r="1064">
          <cell r="D1064">
            <v>160616.92</v>
          </cell>
        </row>
        <row r="1124">
          <cell r="D1124">
            <v>0</v>
          </cell>
        </row>
        <row r="1125">
          <cell r="D1125">
            <v>2080793.67</v>
          </cell>
        </row>
        <row r="1126">
          <cell r="D1126">
            <v>568766.11</v>
          </cell>
        </row>
        <row r="1127">
          <cell r="D1127">
            <v>192174.72</v>
          </cell>
        </row>
        <row r="1450">
          <cell r="D1450">
            <v>0</v>
          </cell>
        </row>
        <row r="1451">
          <cell r="D1451">
            <v>55389.3</v>
          </cell>
        </row>
        <row r="1452">
          <cell r="D1452">
            <v>0</v>
          </cell>
        </row>
        <row r="1453">
          <cell r="D1453">
            <v>141700.36</v>
          </cell>
        </row>
        <row r="1454">
          <cell r="D1454">
            <v>0</v>
          </cell>
        </row>
        <row r="1455">
          <cell r="D1455">
            <v>20077.32</v>
          </cell>
        </row>
        <row r="1456">
          <cell r="D1456">
            <v>13342.98</v>
          </cell>
        </row>
        <row r="1457">
          <cell r="D1457">
            <v>493.64</v>
          </cell>
        </row>
        <row r="1458">
          <cell r="D1458">
            <v>0</v>
          </cell>
        </row>
        <row r="1459">
          <cell r="D1459">
            <v>0</v>
          </cell>
        </row>
        <row r="1460">
          <cell r="D1460">
            <v>252.6</v>
          </cell>
        </row>
        <row r="1461">
          <cell r="D1461">
            <v>189.92</v>
          </cell>
        </row>
        <row r="1462">
          <cell r="D1462">
            <v>0</v>
          </cell>
        </row>
        <row r="1463">
          <cell r="D1463">
            <v>0</v>
          </cell>
        </row>
        <row r="1464">
          <cell r="D1464">
            <v>0</v>
          </cell>
        </row>
        <row r="1465">
          <cell r="D1465">
            <v>0</v>
          </cell>
        </row>
        <row r="1466">
          <cell r="D1466">
            <v>0</v>
          </cell>
        </row>
        <row r="1467">
          <cell r="D1467">
            <v>18658.24</v>
          </cell>
        </row>
        <row r="1468">
          <cell r="D1468">
            <v>14476.55</v>
          </cell>
        </row>
        <row r="1469">
          <cell r="D1469">
            <v>0</v>
          </cell>
        </row>
        <row r="1470">
          <cell r="D1470">
            <v>0</v>
          </cell>
        </row>
        <row r="1471">
          <cell r="D1471">
            <v>18373.72</v>
          </cell>
        </row>
        <row r="1472">
          <cell r="D1472">
            <v>22247.8</v>
          </cell>
        </row>
        <row r="1473">
          <cell r="D1473">
            <v>0</v>
          </cell>
        </row>
        <row r="1474">
          <cell r="D1474">
            <v>0</v>
          </cell>
        </row>
        <row r="1475">
          <cell r="D1475">
            <v>0</v>
          </cell>
        </row>
        <row r="1476">
          <cell r="D1476">
            <v>0</v>
          </cell>
        </row>
        <row r="1477">
          <cell r="D1477">
            <v>0</v>
          </cell>
        </row>
        <row r="1478">
          <cell r="D1478">
            <v>0</v>
          </cell>
        </row>
        <row r="1479">
          <cell r="D1479">
            <v>66182.33</v>
          </cell>
        </row>
        <row r="1480">
          <cell r="D1480">
            <v>92901.2</v>
          </cell>
        </row>
        <row r="1481">
          <cell r="D1481">
            <v>66015.67</v>
          </cell>
        </row>
        <row r="1482">
          <cell r="D1482">
            <v>67507.85</v>
          </cell>
        </row>
        <row r="1483">
          <cell r="D1483">
            <v>17312.24</v>
          </cell>
        </row>
        <row r="1484">
          <cell r="D1484">
            <v>71332.81</v>
          </cell>
        </row>
        <row r="1485">
          <cell r="D1485">
            <v>0</v>
          </cell>
        </row>
        <row r="1486">
          <cell r="D1486">
            <v>0</v>
          </cell>
        </row>
        <row r="1487">
          <cell r="D1487">
            <v>10636.46</v>
          </cell>
        </row>
        <row r="1488">
          <cell r="D1488">
            <v>0</v>
          </cell>
        </row>
        <row r="1489">
          <cell r="D1489">
            <v>979.86</v>
          </cell>
        </row>
        <row r="1490">
          <cell r="D1490">
            <v>0</v>
          </cell>
        </row>
        <row r="1491">
          <cell r="D1491">
            <v>0</v>
          </cell>
        </row>
        <row r="1492">
          <cell r="D1492">
            <v>811.65</v>
          </cell>
        </row>
        <row r="1493">
          <cell r="D1493">
            <v>0</v>
          </cell>
        </row>
        <row r="1494">
          <cell r="D1494">
            <v>28777.59</v>
          </cell>
        </row>
        <row r="1495">
          <cell r="D1495">
            <v>0</v>
          </cell>
        </row>
        <row r="1496">
          <cell r="D1496">
            <v>390600.78</v>
          </cell>
        </row>
        <row r="1497">
          <cell r="D1497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wC"/>
      <sheetName val="PL Q1'08"/>
      <sheetName val="PL Q1'07"/>
      <sheetName val="BS"/>
      <sheetName val="CF"/>
      <sheetName val="TAX"/>
      <sheetName val="TB"/>
      <sheetName val="sheet"/>
      <sheetName val="Sheet3"/>
    </sheetNames>
    <sheetDataSet>
      <sheetData sheetId="1">
        <row r="112">
          <cell r="M112">
            <v>315046.92</v>
          </cell>
        </row>
        <row r="115">
          <cell r="M115">
            <v>48617392.43000007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CHECK"/>
      <sheetName val="Sheet1"/>
      <sheetName val="REC"/>
      <sheetName val="LIAB"/>
      <sheetName val="REV"/>
      <sheetName val="EXPE"/>
      <sheetName val="Sheet5"/>
      <sheetName val="Sheet6"/>
      <sheetName val="Sheet7"/>
      <sheetName val="BS"/>
      <sheetName val="Sheet2"/>
      <sheetName val="Sheet3"/>
      <sheetName val="CAPITAL_N"/>
      <sheetName val="INVEST_N"/>
      <sheetName val="SAGAKU"/>
      <sheetName val="TOUSI"/>
      <sheetName val="INVENT"/>
      <sheetName val="FIXSALES_N"/>
      <sheetName val="FIX_N"/>
      <sheetName val="FIXDED_N"/>
      <sheetName val="ACTABLE"/>
      <sheetName val="CF_KOTEI"/>
      <sheetName val="CF_AS"/>
      <sheetName val="CF_LIAB"/>
      <sheetName val="CFNOTES"/>
      <sheetName val="BSBEG"/>
      <sheetName val="BSREC"/>
      <sheetName val="BSPAY"/>
      <sheetName val="COMMON"/>
      <sheetName val="Sheet13"/>
      <sheetName val="Sheet14"/>
      <sheetName val="Sheet15"/>
      <sheetName val="Sheet16"/>
      <sheetName val="Sheet17"/>
      <sheetName val="Sheet21"/>
      <sheetName val="Sheet22"/>
      <sheetName val="Sheet23"/>
      <sheetName val="Sheet23_2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COMPARATIVE"/>
      <sheetName val="TOKEINOTES"/>
    </sheetNames>
    <sheetDataSet>
      <sheetData sheetId="2">
        <row r="6">
          <cell r="D6" t="str">
            <v>1_THB</v>
          </cell>
        </row>
      </sheetData>
      <sheetData sheetId="29">
        <row r="2">
          <cell r="U2" t="str">
            <v>1027</v>
          </cell>
        </row>
        <row r="11">
          <cell r="E11" t="str">
            <v>YTH</v>
          </cell>
        </row>
        <row r="13">
          <cell r="V13" t="str">
            <v>1028</v>
          </cell>
          <cell r="W13" t="str">
            <v>1028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3000"/>
      <sheetName val="3700"/>
      <sheetName val="Analyse"/>
      <sheetName val="ControlBS"/>
      <sheetName val="Nature"/>
      <sheetName val="BG TR LC"/>
      <sheetName val="Bank Reconciliaiton"/>
      <sheetName val="Note A"/>
      <sheetName val="Note B"/>
    </sheetNames>
    <sheetDataSet>
      <sheetData sheetId="8">
        <row r="40">
          <cell r="K40" t="str">
            <v>230110-30</v>
          </cell>
          <cell r="L40" t="str">
            <v>AP- Domestic</v>
          </cell>
        </row>
        <row r="41">
          <cell r="K41">
            <v>242190</v>
          </cell>
          <cell r="L41" t="str">
            <v>Accrued Expense- Others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CHECK"/>
      <sheetName val="Sheet1"/>
      <sheetName val="REC"/>
      <sheetName val="LIAB"/>
      <sheetName val="REV"/>
      <sheetName val="EXPE"/>
      <sheetName val="Sheet5"/>
      <sheetName val="Sheet6"/>
      <sheetName val="Sheet7"/>
      <sheetName val="BS"/>
      <sheetName val="Sheet2"/>
      <sheetName val="Sheet3"/>
      <sheetName val="CAPITAL_N"/>
      <sheetName val="INVEST_N"/>
      <sheetName val="SAGAKU"/>
      <sheetName val="TOUSI"/>
      <sheetName val="INVENT"/>
      <sheetName val="FIXSALES_N"/>
      <sheetName val="FIX_N"/>
      <sheetName val="FIXDED_N"/>
      <sheetName val="ACTABLE"/>
      <sheetName val="CF_KOTEI"/>
      <sheetName val="CF_AS"/>
      <sheetName val="CF_LIAB"/>
      <sheetName val="CFNOTES"/>
      <sheetName val="BSBEG"/>
      <sheetName val="BSPAY"/>
      <sheetName val="BSREC"/>
      <sheetName val="COMMON"/>
      <sheetName val="Sheet13"/>
      <sheetName val="Sheet14"/>
      <sheetName val="Sheet15"/>
      <sheetName val="Sheet16"/>
      <sheetName val="Sheet17"/>
      <sheetName val="Sheet21"/>
      <sheetName val="Sheet22"/>
      <sheetName val="Sheet23"/>
      <sheetName val="Sheet23_2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COMPARATIVE"/>
      <sheetName val="TOKEINOTES"/>
    </sheetNames>
    <sheetDataSet>
      <sheetData sheetId="21">
        <row r="2">
          <cell r="A2">
            <v>11</v>
          </cell>
          <cell r="B2" t="str">
            <v/>
          </cell>
          <cell r="C2" t="str">
            <v>建物-売上原価</v>
          </cell>
          <cell r="D2" t="str">
            <v/>
          </cell>
        </row>
        <row r="3">
          <cell r="A3">
            <v>12</v>
          </cell>
          <cell r="B3" t="str">
            <v/>
          </cell>
          <cell r="C3" t="str">
            <v>構築物-売上原価</v>
          </cell>
          <cell r="D3" t="str">
            <v/>
          </cell>
        </row>
        <row r="4">
          <cell r="A4">
            <v>13</v>
          </cell>
          <cell r="B4" t="str">
            <v/>
          </cell>
          <cell r="C4" t="str">
            <v>機械装置-売上原価</v>
          </cell>
          <cell r="D4" t="str">
            <v/>
          </cell>
        </row>
        <row r="5">
          <cell r="A5">
            <v>14</v>
          </cell>
          <cell r="B5" t="str">
            <v/>
          </cell>
          <cell r="C5" t="str">
            <v>車両運搬具-売上原価</v>
          </cell>
          <cell r="D5" t="str">
            <v/>
          </cell>
        </row>
        <row r="6">
          <cell r="A6">
            <v>15</v>
          </cell>
          <cell r="B6" t="str">
            <v/>
          </cell>
          <cell r="C6" t="str">
            <v>工具器具備品-売上原価</v>
          </cell>
          <cell r="D6" t="str">
            <v/>
          </cell>
        </row>
        <row r="7">
          <cell r="A7">
            <v>16</v>
          </cell>
          <cell r="B7" t="str">
            <v/>
          </cell>
          <cell r="C7" t="str">
            <v>土地-非償却</v>
          </cell>
          <cell r="D7" t="str">
            <v/>
          </cell>
        </row>
        <row r="8">
          <cell r="A8">
            <v>17</v>
          </cell>
          <cell r="B8" t="str">
            <v/>
          </cell>
          <cell r="C8" t="str">
            <v>建設仮勘定-非償却</v>
          </cell>
          <cell r="D8" t="str">
            <v/>
          </cell>
        </row>
        <row r="9">
          <cell r="A9">
            <v>19</v>
          </cell>
          <cell r="B9" t="str">
            <v/>
          </cell>
          <cell r="C9" t="str">
            <v>ソフトウェア-売上原価</v>
          </cell>
          <cell r="D9" t="str">
            <v/>
          </cell>
        </row>
        <row r="10">
          <cell r="C10" t="str">
            <v>その他無形固定資産－売上原価</v>
          </cell>
        </row>
        <row r="11">
          <cell r="A11">
            <v>20</v>
          </cell>
          <cell r="B11" t="str">
            <v/>
          </cell>
          <cell r="C11" t="str">
            <v>長期前払費用-売上原価</v>
          </cell>
          <cell r="D11" t="str">
            <v/>
          </cell>
        </row>
        <row r="12">
          <cell r="A12">
            <v>21</v>
          </cell>
          <cell r="B12" t="str">
            <v/>
          </cell>
          <cell r="C12" t="str">
            <v>建物-販管費</v>
          </cell>
          <cell r="D12" t="str">
            <v/>
          </cell>
        </row>
        <row r="13">
          <cell r="A13">
            <v>22</v>
          </cell>
          <cell r="B13" t="str">
            <v/>
          </cell>
          <cell r="C13" t="str">
            <v>構築物-販管費</v>
          </cell>
          <cell r="D13" t="str">
            <v/>
          </cell>
        </row>
        <row r="14">
          <cell r="A14">
            <v>23</v>
          </cell>
          <cell r="B14" t="str">
            <v/>
          </cell>
          <cell r="C14" t="str">
            <v>機械装置-販管費</v>
          </cell>
          <cell r="D14" t="str">
            <v/>
          </cell>
        </row>
        <row r="15">
          <cell r="A15">
            <v>24</v>
          </cell>
          <cell r="B15" t="str">
            <v/>
          </cell>
          <cell r="C15" t="str">
            <v>車両運搬具-販管費</v>
          </cell>
          <cell r="D15" t="str">
            <v/>
          </cell>
        </row>
        <row r="16">
          <cell r="A16">
            <v>25</v>
          </cell>
          <cell r="B16" t="str">
            <v/>
          </cell>
          <cell r="C16" t="str">
            <v>工具器具備品-販管費</v>
          </cell>
          <cell r="D16" t="str">
            <v/>
          </cell>
        </row>
        <row r="17">
          <cell r="A17">
            <v>29</v>
          </cell>
          <cell r="B17" t="str">
            <v/>
          </cell>
          <cell r="C17" t="str">
            <v>ソフトウェア-販管費</v>
          </cell>
          <cell r="D17" t="str">
            <v/>
          </cell>
        </row>
        <row r="18">
          <cell r="C18" t="str">
            <v>その他無形固定資産－販管費</v>
          </cell>
        </row>
        <row r="19">
          <cell r="A19">
            <v>30</v>
          </cell>
          <cell r="B19" t="str">
            <v/>
          </cell>
          <cell r="C19" t="str">
            <v>長期前払費用-販管費</v>
          </cell>
          <cell r="D19" t="str">
            <v/>
          </cell>
        </row>
      </sheetData>
      <sheetData sheetId="29">
        <row r="13">
          <cell r="L13" t="str">
            <v>YHQ</v>
          </cell>
        </row>
        <row r="14">
          <cell r="L14" t="str">
            <v>AUS</v>
          </cell>
        </row>
        <row r="15">
          <cell r="L15" t="str">
            <v>CYS</v>
          </cell>
        </row>
        <row r="16">
          <cell r="L16" t="str">
            <v>EMB</v>
          </cell>
        </row>
        <row r="17">
          <cell r="L17" t="str">
            <v>HAN-YO</v>
          </cell>
        </row>
        <row r="18">
          <cell r="L18" t="str">
            <v>ITS</v>
          </cell>
        </row>
        <row r="19">
          <cell r="L19" t="str">
            <v>KCA</v>
          </cell>
        </row>
        <row r="20">
          <cell r="L20" t="str">
            <v>KCP</v>
          </cell>
        </row>
        <row r="21">
          <cell r="L21" t="str">
            <v>LAC</v>
          </cell>
        </row>
        <row r="22">
          <cell r="L22" t="str">
            <v>LAS</v>
          </cell>
        </row>
        <row r="23">
          <cell r="L23" t="str">
            <v>LAT</v>
          </cell>
        </row>
        <row r="24">
          <cell r="L24" t="str">
            <v>MAT</v>
          </cell>
        </row>
        <row r="25">
          <cell r="L25" t="str">
            <v>MCC</v>
          </cell>
        </row>
        <row r="26">
          <cell r="L26" t="str">
            <v>MGS</v>
          </cell>
        </row>
        <row r="27">
          <cell r="L27" t="str">
            <v>MIA-SP</v>
          </cell>
        </row>
        <row r="28">
          <cell r="L28" t="str">
            <v>MIA</v>
          </cell>
        </row>
        <row r="29">
          <cell r="L29" t="str">
            <v>NSG</v>
          </cell>
        </row>
        <row r="30">
          <cell r="L30" t="str">
            <v>PEI</v>
          </cell>
        </row>
        <row r="31">
          <cell r="L31" t="str">
            <v>RIV</v>
          </cell>
        </row>
        <row r="32">
          <cell r="L32" t="str">
            <v>SPIN</v>
          </cell>
        </row>
        <row r="33">
          <cell r="L33" t="str">
            <v>STC</v>
          </cell>
        </row>
        <row r="34">
          <cell r="L34" t="str">
            <v>SYC</v>
          </cell>
        </row>
        <row r="35">
          <cell r="L35" t="str">
            <v>TCS</v>
          </cell>
        </row>
        <row r="36">
          <cell r="L36" t="str">
            <v>TSK</v>
          </cell>
        </row>
        <row r="37">
          <cell r="L37" t="str">
            <v>YAS-MHQ</v>
          </cell>
        </row>
        <row r="38">
          <cell r="L38" t="str">
            <v>YAU</v>
          </cell>
        </row>
        <row r="39">
          <cell r="L39" t="str">
            <v>YCA</v>
          </cell>
        </row>
        <row r="40">
          <cell r="L40" t="str">
            <v>YCL</v>
          </cell>
        </row>
        <row r="41">
          <cell r="L41" t="str">
            <v>YCS</v>
          </cell>
        </row>
        <row r="42">
          <cell r="L42" t="str">
            <v>YDC</v>
          </cell>
        </row>
        <row r="43">
          <cell r="L43" t="str">
            <v>YDK</v>
          </cell>
        </row>
        <row r="44">
          <cell r="L44" t="str">
            <v>YEA</v>
          </cell>
        </row>
        <row r="45">
          <cell r="L45" t="str">
            <v>YEF-HQ</v>
          </cell>
        </row>
        <row r="46">
          <cell r="L46" t="str">
            <v>YEM</v>
          </cell>
        </row>
        <row r="47">
          <cell r="L47" t="str">
            <v>YFE</v>
          </cell>
        </row>
        <row r="48">
          <cell r="L48" t="str">
            <v>YGA</v>
          </cell>
        </row>
        <row r="49">
          <cell r="L49" t="str">
            <v>YHC</v>
          </cell>
        </row>
        <row r="50">
          <cell r="L50" t="str">
            <v>YIK</v>
          </cell>
        </row>
        <row r="51">
          <cell r="L51" t="str">
            <v>YIN</v>
          </cell>
        </row>
        <row r="52">
          <cell r="L52" t="str">
            <v>YIS</v>
          </cell>
        </row>
        <row r="53">
          <cell r="L53" t="str">
            <v>YIT</v>
          </cell>
        </row>
        <row r="54">
          <cell r="L54" t="str">
            <v>YKO</v>
          </cell>
        </row>
        <row r="55">
          <cell r="L55" t="str">
            <v>YMB</v>
          </cell>
        </row>
        <row r="56">
          <cell r="L56" t="str">
            <v>YME</v>
          </cell>
        </row>
        <row r="57">
          <cell r="L57" t="str">
            <v>YMF</v>
          </cell>
        </row>
        <row r="58">
          <cell r="L58" t="str">
            <v>YMF-K</v>
          </cell>
        </row>
        <row r="59">
          <cell r="L59" t="str">
            <v>YMX</v>
          </cell>
        </row>
        <row r="60">
          <cell r="L60" t="str">
            <v>FYMX</v>
          </cell>
        </row>
        <row r="61">
          <cell r="L61" t="str">
            <v>YMY</v>
          </cell>
        </row>
        <row r="62">
          <cell r="L62" t="str">
            <v>YPI</v>
          </cell>
        </row>
        <row r="63">
          <cell r="L63" t="str">
            <v>YPK</v>
          </cell>
        </row>
        <row r="64">
          <cell r="L64" t="str">
            <v>YRC</v>
          </cell>
        </row>
        <row r="65">
          <cell r="L65" t="str">
            <v>YRI</v>
          </cell>
        </row>
        <row r="66">
          <cell r="L66" t="str">
            <v>YRU</v>
          </cell>
        </row>
        <row r="67">
          <cell r="L67" t="str">
            <v>YSA</v>
          </cell>
        </row>
        <row r="68">
          <cell r="L68" t="str">
            <v>YSE</v>
          </cell>
        </row>
        <row r="69">
          <cell r="L69" t="str">
            <v>YSH</v>
          </cell>
        </row>
        <row r="70">
          <cell r="L70" t="str">
            <v>YSS</v>
          </cell>
        </row>
        <row r="71">
          <cell r="L71" t="str">
            <v>YSV</v>
          </cell>
        </row>
        <row r="72">
          <cell r="L72" t="str">
            <v>YSW</v>
          </cell>
        </row>
        <row r="73">
          <cell r="L73" t="str">
            <v>YTH</v>
          </cell>
        </row>
        <row r="74">
          <cell r="L74" t="str">
            <v>YTR</v>
          </cell>
        </row>
        <row r="75">
          <cell r="L75" t="str">
            <v>YTR-A</v>
          </cell>
        </row>
        <row r="76">
          <cell r="L76" t="str">
            <v>YTR-H</v>
          </cell>
        </row>
        <row r="77">
          <cell r="L77" t="str">
            <v>YTR-K</v>
          </cell>
        </row>
        <row r="78">
          <cell r="L78" t="str">
            <v>YTR-T</v>
          </cell>
        </row>
        <row r="79">
          <cell r="L79" t="str">
            <v>YTR-U</v>
          </cell>
        </row>
        <row r="80">
          <cell r="L80" t="str">
            <v>YTS</v>
          </cell>
        </row>
        <row r="81">
          <cell r="L81" t="str">
            <v>YTW</v>
          </cell>
        </row>
        <row r="82">
          <cell r="L82" t="str">
            <v>Y-USA</v>
          </cell>
        </row>
        <row r="83">
          <cell r="L83" t="str">
            <v>YXC</v>
          </cell>
        </row>
        <row r="84">
          <cell r="L84" t="str">
            <v>  &lt; Equity Method Affi. &gt;</v>
          </cell>
        </row>
        <row r="85">
          <cell r="L85" t="str">
            <v>ACE</v>
          </cell>
        </row>
        <row r="86">
          <cell r="L86" t="str">
            <v>AIM</v>
          </cell>
        </row>
        <row r="87">
          <cell r="L87" t="str">
            <v>AYC</v>
          </cell>
        </row>
        <row r="88">
          <cell r="L88" t="str">
            <v>INI</v>
          </cell>
        </row>
        <row r="89">
          <cell r="L89" t="str">
            <v>KSH</v>
          </cell>
        </row>
        <row r="90">
          <cell r="L90" t="str">
            <v>MIE</v>
          </cell>
        </row>
        <row r="91">
          <cell r="L91" t="str">
            <v>MTC</v>
          </cell>
        </row>
        <row r="92">
          <cell r="L92" t="str">
            <v>MYM</v>
          </cell>
        </row>
        <row r="93">
          <cell r="L93" t="str">
            <v>OSC</v>
          </cell>
        </row>
        <row r="94">
          <cell r="L94" t="str">
            <v>SML</v>
          </cell>
        </row>
        <row r="95">
          <cell r="L95" t="str">
            <v>SST</v>
          </cell>
        </row>
        <row r="96">
          <cell r="L96" t="str">
            <v>TMX</v>
          </cell>
        </row>
        <row r="97">
          <cell r="L97" t="str">
            <v>TOA</v>
          </cell>
        </row>
        <row r="98">
          <cell r="L98" t="str">
            <v>TSC</v>
          </cell>
        </row>
        <row r="99">
          <cell r="L99" t="str">
            <v>WLS</v>
          </cell>
        </row>
        <row r="100">
          <cell r="L100" t="str">
            <v>YAN</v>
          </cell>
        </row>
        <row r="101">
          <cell r="L101" t="str">
            <v>YBI</v>
          </cell>
        </row>
        <row r="102">
          <cell r="L102" t="str">
            <v>YCE</v>
          </cell>
        </row>
        <row r="103">
          <cell r="L103" t="str">
            <v>YDY</v>
          </cell>
        </row>
        <row r="104">
          <cell r="L104" t="str">
            <v>YEL</v>
          </cell>
        </row>
        <row r="105">
          <cell r="L105" t="str">
            <v>YFD</v>
          </cell>
        </row>
        <row r="106">
          <cell r="L106" t="str">
            <v>YGF</v>
          </cell>
        </row>
        <row r="107">
          <cell r="L107" t="str">
            <v>YIC</v>
          </cell>
        </row>
        <row r="108">
          <cell r="L108" t="str">
            <v>YJC</v>
          </cell>
        </row>
        <row r="109">
          <cell r="L109" t="str">
            <v>YKM</v>
          </cell>
        </row>
        <row r="110">
          <cell r="L110" t="str">
            <v>YORC</v>
          </cell>
        </row>
        <row r="111">
          <cell r="L111" t="str">
            <v>YRL</v>
          </cell>
        </row>
        <row r="112">
          <cell r="L112" t="str">
            <v>YSI</v>
          </cell>
        </row>
        <row r="113">
          <cell r="L113" t="str">
            <v>YSL</v>
          </cell>
        </row>
        <row r="114">
          <cell r="L114" t="str">
            <v>YWT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udit ADJ - 200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cash flow statment"/>
      <sheetName val="BS"/>
      <sheetName val="3000"/>
      <sheetName val="3200"/>
      <sheetName val="3300"/>
      <sheetName val="3400"/>
      <sheetName val="3500"/>
      <sheetName val="3600"/>
      <sheetName val="3700"/>
      <sheetName val="3800"/>
      <sheetName val="3800(1)"/>
      <sheetName val="4000"/>
      <sheetName val="4100"/>
      <sheetName val="4300"/>
      <sheetName val="4700"/>
      <sheetName val="5000"/>
      <sheetName val="P&amp;L"/>
      <sheetName val="6000"/>
      <sheetName val="6100"/>
      <sheetName val="6100-1"/>
      <sheetName val="6200"/>
      <sheetName val="6300"/>
      <sheetName val="6500"/>
      <sheetName val="SUD"/>
      <sheetName val="Calcorp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  <sheetName val="f-2"/>
      <sheetName val="f-3"/>
      <sheetName val="B-2"/>
      <sheetName val="L-3"/>
      <sheetName val="L-4"/>
      <sheetName val="U-5"/>
      <sheetName val="Z-4"/>
      <sheetName val="AA-6 (2)"/>
      <sheetName val="AA-6"/>
      <sheetName val="NN-6"/>
      <sheetName val="BB-7"/>
      <sheetName val="CC-8"/>
      <sheetName val="CC-9"/>
      <sheetName val="DD-10"/>
      <sheetName val="KK"/>
      <sheetName val="MM"/>
      <sheetName val="10"/>
      <sheetName val="70"/>
      <sheetName val="30"/>
      <sheetName val="30-note"/>
      <sheetName val="40"/>
      <sheetName val="90"/>
      <sheetName val="10-test (revise)"/>
      <sheetName val="10-1 Media"/>
      <sheetName val="10-cut"/>
      <sheetName val="Balance Sheet"/>
      <sheetName val="Statement of Income "/>
      <sheetName val="historical rate"/>
      <sheetName val="ELIMINATE"/>
      <sheetName val="P&amp;L(LENDER)"/>
      <sheetName val="BS(LENDER)"/>
      <sheetName val="RATIO"/>
      <sheetName val="DETAIL RATIO"/>
    </sheetNames>
    <sheetDataSet>
      <sheetData sheetId="24">
        <row r="1">
          <cell r="A1" t="str">
            <v>CARAT MEDIA SERVICES (THAILAND) CO., LTD.</v>
          </cell>
        </row>
        <row r="2">
          <cell r="A2" t="str">
            <v>12.31.01</v>
          </cell>
        </row>
        <row r="3">
          <cell r="A3" t="str">
            <v>MEDIA ANALYTICAL REVIEW</v>
          </cell>
        </row>
        <row r="5">
          <cell r="A5" t="str">
            <v>Customers' name </v>
          </cell>
          <cell r="B5" t="str">
            <v>Carat Media Service</v>
          </cell>
          <cell r="C5" t="str">
            <v>Cost</v>
          </cell>
          <cell r="D5" t="str">
            <v>Sale</v>
          </cell>
          <cell r="E5" t="str">
            <v>Gross Profit(%)</v>
          </cell>
        </row>
      </sheetData>
      <sheetData sheetId="25">
        <row r="1">
          <cell r="A1" t="str">
            <v>CARAT MEDIA SERVICES (THAILAND) CO., LTD.</v>
          </cell>
        </row>
        <row r="2">
          <cell r="A2" t="str">
            <v>12.31.01</v>
          </cell>
        </row>
        <row r="3">
          <cell r="A3" t="str">
            <v>CUT-OFF SALE TEST</v>
          </cell>
          <cell r="C3" t="str">
            <v>Select job sheet from sales report </v>
          </cell>
        </row>
        <row r="5">
          <cell r="A5" t="str">
            <v>No.</v>
          </cell>
          <cell r="B5" t="str">
            <v>Customers' name </v>
          </cell>
          <cell r="D5" t="str">
            <v>Job sheet No.</v>
          </cell>
          <cell r="E5" t="str">
            <v>Sale amount</v>
          </cell>
          <cell r="F5" t="str">
            <v>Cost amount</v>
          </cell>
          <cell r="G5" t="str">
            <v>Handling charge</v>
          </cell>
          <cell r="H5" t="str">
            <v>%</v>
          </cell>
          <cell r="I5" t="str">
            <v>A</v>
          </cell>
          <cell r="J5" t="str">
            <v>B</v>
          </cell>
          <cell r="K5" t="str">
            <v>C</v>
          </cell>
          <cell r="L5" t="str">
            <v>Remark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  <sheetName val="f-2"/>
      <sheetName val="f-3"/>
      <sheetName val="B-2"/>
      <sheetName val="L-3"/>
      <sheetName val="L-4"/>
      <sheetName val="U-5"/>
      <sheetName val="Z-4"/>
      <sheetName val="AA-6 (2)"/>
      <sheetName val="AA-6"/>
      <sheetName val="NN-6"/>
      <sheetName val="BB-7"/>
      <sheetName val="CC-8"/>
      <sheetName val="CC-9"/>
      <sheetName val="DD-10"/>
      <sheetName val="KK"/>
      <sheetName val="MM"/>
      <sheetName val="10"/>
      <sheetName val="70"/>
      <sheetName val="30"/>
      <sheetName val="30-note"/>
      <sheetName val="40"/>
      <sheetName val="90"/>
      <sheetName val="10-test (revise)"/>
      <sheetName val="10-1 Media"/>
      <sheetName val="10-cu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workbookViewId="0" topLeftCell="A65">
      <selection activeCell="F82" sqref="F82"/>
    </sheetView>
  </sheetViews>
  <sheetFormatPr defaultColWidth="9.140625" defaultRowHeight="21.75" customHeight="1"/>
  <cols>
    <col min="1" max="1" width="2.421875" style="1583" customWidth="1"/>
    <col min="2" max="5" width="1.7109375" style="1583" customWidth="1"/>
    <col min="6" max="6" width="38.28125" style="1583" customWidth="1"/>
    <col min="7" max="7" width="8.00390625" style="1584" bestFit="1" customWidth="1"/>
    <col min="8" max="8" width="1.421875" style="1584" customWidth="1"/>
    <col min="9" max="9" width="15.28125" style="1585" customWidth="1"/>
    <col min="10" max="10" width="1.421875" style="1586" customWidth="1"/>
    <col min="11" max="11" width="15.28125" style="1585" customWidth="1"/>
    <col min="12" max="12" width="9.140625" style="1583" customWidth="1"/>
    <col min="13" max="13" width="9.421875" style="1583" bestFit="1" customWidth="1"/>
    <col min="14" max="16384" width="9.140625" style="1583" customWidth="1"/>
  </cols>
  <sheetData>
    <row r="1" ht="21.75" customHeight="1">
      <c r="A1" s="1582" t="s">
        <v>283</v>
      </c>
    </row>
    <row r="2" ht="21.75" customHeight="1">
      <c r="A2" s="1582" t="s">
        <v>284</v>
      </c>
    </row>
    <row r="3" spans="1:11" ht="21.75" customHeight="1">
      <c r="A3" s="1587" t="s">
        <v>101</v>
      </c>
      <c r="B3" s="1588"/>
      <c r="C3" s="1588"/>
      <c r="D3" s="1588"/>
      <c r="E3" s="1588"/>
      <c r="F3" s="1588"/>
      <c r="G3" s="1589"/>
      <c r="H3" s="1589"/>
      <c r="I3" s="1590"/>
      <c r="J3" s="1591"/>
      <c r="K3" s="1590"/>
    </row>
    <row r="4" spans="1:11" ht="21.75" customHeight="1">
      <c r="A4" s="1592"/>
      <c r="B4" s="1593"/>
      <c r="C4" s="1593"/>
      <c r="D4" s="1593"/>
      <c r="E4" s="1593"/>
      <c r="F4" s="1593"/>
      <c r="G4" s="1594"/>
      <c r="H4" s="1594"/>
      <c r="I4" s="1595"/>
      <c r="J4" s="1596"/>
      <c r="K4" s="1595"/>
    </row>
    <row r="5" spans="1:11" ht="21.75" customHeight="1">
      <c r="A5" s="1592"/>
      <c r="B5" s="1593"/>
      <c r="C5" s="1593"/>
      <c r="D5" s="1593"/>
      <c r="E5" s="1593"/>
      <c r="F5" s="1593"/>
      <c r="G5" s="1594"/>
      <c r="H5" s="1594"/>
      <c r="I5" s="1597" t="s">
        <v>285</v>
      </c>
      <c r="J5" s="1598"/>
      <c r="K5" s="1599" t="s">
        <v>286</v>
      </c>
    </row>
    <row r="6" spans="9:11" ht="21.75" customHeight="1">
      <c r="I6" s="1597" t="s">
        <v>100</v>
      </c>
      <c r="J6" s="1598"/>
      <c r="K6" s="1597" t="s">
        <v>287</v>
      </c>
    </row>
    <row r="7" spans="7:11" ht="21.75" customHeight="1">
      <c r="G7" s="1600"/>
      <c r="H7" s="1600"/>
      <c r="I7" s="1597" t="s">
        <v>288</v>
      </c>
      <c r="J7" s="1598"/>
      <c r="K7" s="1597" t="s">
        <v>289</v>
      </c>
    </row>
    <row r="8" spans="7:11" ht="21.75" customHeight="1">
      <c r="G8" s="1601" t="s">
        <v>290</v>
      </c>
      <c r="H8" s="1600"/>
      <c r="I8" s="1602" t="s">
        <v>291</v>
      </c>
      <c r="J8" s="1598"/>
      <c r="K8" s="1602" t="s">
        <v>291</v>
      </c>
    </row>
    <row r="9" ht="21.75" customHeight="1">
      <c r="A9" s="1582" t="s">
        <v>292</v>
      </c>
    </row>
    <row r="10" ht="7.5" customHeight="1">
      <c r="A10" s="1582"/>
    </row>
    <row r="11" ht="21.75" customHeight="1">
      <c r="A11" s="1582" t="s">
        <v>293</v>
      </c>
    </row>
    <row r="12" ht="7.5" customHeight="1">
      <c r="A12" s="1582"/>
    </row>
    <row r="13" spans="1:11" ht="21.75" customHeight="1">
      <c r="A13" s="1583" t="s">
        <v>294</v>
      </c>
      <c r="I13" s="1585">
        <v>68892501</v>
      </c>
      <c r="K13" s="1585">
        <v>118307151</v>
      </c>
    </row>
    <row r="14" spans="1:11" ht="21.75" customHeight="1">
      <c r="A14" s="1583" t="s">
        <v>295</v>
      </c>
      <c r="G14" s="1584">
        <v>4</v>
      </c>
      <c r="I14" s="1585">
        <v>1462776</v>
      </c>
      <c r="K14" s="1585">
        <v>1462776</v>
      </c>
    </row>
    <row r="15" spans="1:11" ht="21.75" customHeight="1">
      <c r="A15" s="1583" t="s">
        <v>368</v>
      </c>
      <c r="G15" s="1584">
        <v>6</v>
      </c>
      <c r="I15" s="1585">
        <v>261999295</v>
      </c>
      <c r="K15" s="1585">
        <v>306074803</v>
      </c>
    </row>
    <row r="16" spans="1:11" ht="21.75" customHeight="1">
      <c r="A16" s="1583" t="s">
        <v>296</v>
      </c>
      <c r="G16" s="1584">
        <v>5</v>
      </c>
      <c r="I16" s="1585">
        <v>1699487</v>
      </c>
      <c r="K16" s="1585">
        <v>2139259</v>
      </c>
    </row>
    <row r="17" spans="1:11" ht="21.75" customHeight="1">
      <c r="A17" s="1583" t="s">
        <v>297</v>
      </c>
      <c r="G17" s="1584">
        <v>7</v>
      </c>
      <c r="I17" s="1585">
        <v>110486107</v>
      </c>
      <c r="K17" s="1585">
        <v>132161855</v>
      </c>
    </row>
    <row r="18" spans="1:11" ht="21.75" customHeight="1">
      <c r="A18" s="1583" t="s">
        <v>298</v>
      </c>
      <c r="I18" s="1585">
        <v>7256591</v>
      </c>
      <c r="K18" s="1585">
        <v>5092392</v>
      </c>
    </row>
    <row r="19" spans="1:11" ht="21.75" customHeight="1">
      <c r="A19" s="1583" t="s">
        <v>1096</v>
      </c>
      <c r="I19" s="1590">
        <v>4407744</v>
      </c>
      <c r="J19" s="1596"/>
      <c r="K19" s="1590">
        <v>4558272</v>
      </c>
    </row>
    <row r="20" spans="1:11" ht="7.5" customHeight="1">
      <c r="A20" s="1582"/>
      <c r="I20" s="1595"/>
      <c r="J20" s="1596"/>
      <c r="K20" s="1595"/>
    </row>
    <row r="21" spans="1:11" ht="21.75" customHeight="1">
      <c r="A21" s="1582" t="s">
        <v>299</v>
      </c>
      <c r="I21" s="1590">
        <f>SUM(I13:I20)</f>
        <v>456204501</v>
      </c>
      <c r="K21" s="1590">
        <f>SUM(K13:K20)</f>
        <v>569796508</v>
      </c>
    </row>
    <row r="23" ht="21.75" customHeight="1">
      <c r="A23" s="1582" t="s">
        <v>300</v>
      </c>
    </row>
    <row r="24" ht="7.5" customHeight="1">
      <c r="A24" s="1582"/>
    </row>
    <row r="25" spans="1:11" ht="21.75" customHeight="1">
      <c r="A25" s="1583" t="s">
        <v>301</v>
      </c>
      <c r="I25" s="1585">
        <v>488494</v>
      </c>
      <c r="K25" s="1585">
        <v>573210</v>
      </c>
    </row>
    <row r="26" spans="1:11" ht="21.75" customHeight="1">
      <c r="A26" s="1583" t="s">
        <v>302</v>
      </c>
      <c r="G26" s="1584">
        <v>8</v>
      </c>
      <c r="I26" s="1585">
        <v>236611237</v>
      </c>
      <c r="K26" s="1585">
        <v>246451459</v>
      </c>
    </row>
    <row r="27" spans="1:11" ht="21.75" customHeight="1">
      <c r="A27" s="1583" t="s">
        <v>303</v>
      </c>
      <c r="G27" s="1584">
        <v>8</v>
      </c>
      <c r="I27" s="1585">
        <v>4074426</v>
      </c>
      <c r="K27" s="1585">
        <v>4327319</v>
      </c>
    </row>
    <row r="28" spans="1:11" ht="21.75" customHeight="1">
      <c r="A28" s="1583" t="s">
        <v>304</v>
      </c>
      <c r="G28" s="1584">
        <v>8</v>
      </c>
      <c r="I28" s="1585">
        <v>104782995</v>
      </c>
      <c r="K28" s="1585">
        <v>104782995</v>
      </c>
    </row>
    <row r="29" spans="1:11" ht="21.75" customHeight="1">
      <c r="A29" s="1583" t="s">
        <v>305</v>
      </c>
      <c r="I29" s="1590">
        <v>434444</v>
      </c>
      <c r="J29" s="1596"/>
      <c r="K29" s="1590">
        <v>473026</v>
      </c>
    </row>
    <row r="30" spans="1:11" ht="7.5" customHeight="1">
      <c r="A30" s="1582"/>
      <c r="I30" s="1595"/>
      <c r="J30" s="1596"/>
      <c r="K30" s="1595"/>
    </row>
    <row r="31" spans="1:11" ht="21.75" customHeight="1">
      <c r="A31" s="1582" t="s">
        <v>306</v>
      </c>
      <c r="I31" s="1595">
        <f>SUM(I25:I30)</f>
        <v>346391596</v>
      </c>
      <c r="J31" s="1596"/>
      <c r="K31" s="1595">
        <f>SUM(K25:K30)</f>
        <v>356608009</v>
      </c>
    </row>
    <row r="32" spans="9:11" ht="21.75" customHeight="1">
      <c r="I32" s="1603"/>
      <c r="J32" s="1596"/>
      <c r="K32" s="1603"/>
    </row>
    <row r="33" spans="1:11" ht="7.5" customHeight="1">
      <c r="A33" s="1582"/>
      <c r="I33" s="1595"/>
      <c r="J33" s="1596"/>
      <c r="K33" s="1595"/>
    </row>
    <row r="34" spans="1:11" ht="21.75" customHeight="1" thickBot="1">
      <c r="A34" s="1582" t="s">
        <v>307</v>
      </c>
      <c r="I34" s="1604">
        <f>SUM(I31,I21)</f>
        <v>802596097</v>
      </c>
      <c r="K34" s="1604">
        <f>SUM(K31,K21)</f>
        <v>926404517</v>
      </c>
    </row>
    <row r="35" ht="21.75" customHeight="1" thickTop="1"/>
    <row r="40" ht="15" customHeight="1"/>
    <row r="41" ht="6.75" customHeight="1"/>
    <row r="42" spans="1:11" s="1593" customFormat="1" ht="21.75" customHeight="1">
      <c r="A42" s="1588" t="s">
        <v>988</v>
      </c>
      <c r="B42" s="1588"/>
      <c r="C42" s="1588"/>
      <c r="D42" s="1588"/>
      <c r="E42" s="1588"/>
      <c r="F42" s="1588"/>
      <c r="G42" s="1589"/>
      <c r="H42" s="1589"/>
      <c r="I42" s="1590"/>
      <c r="J42" s="1591"/>
      <c r="K42" s="1590"/>
    </row>
    <row r="43" ht="19.5" customHeight="1">
      <c r="A43" s="1582" t="s">
        <v>283</v>
      </c>
    </row>
    <row r="44" ht="19.5" customHeight="1">
      <c r="A44" s="1582" t="s">
        <v>284</v>
      </c>
    </row>
    <row r="45" spans="1:11" ht="19.5" customHeight="1">
      <c r="A45" s="1587" t="str">
        <f>A3</f>
        <v>ณ วันที่ 31 มีนาคม พ.ศ. 2552 และวันที่ 31 ธันวาคม พ.ศ. 2551</v>
      </c>
      <c r="B45" s="1588"/>
      <c r="C45" s="1588"/>
      <c r="D45" s="1588"/>
      <c r="E45" s="1588"/>
      <c r="F45" s="1588"/>
      <c r="G45" s="1589"/>
      <c r="H45" s="1589"/>
      <c r="I45" s="1590"/>
      <c r="J45" s="1591"/>
      <c r="K45" s="1590"/>
    </row>
    <row r="46" spans="1:11" ht="9.75" customHeight="1">
      <c r="A46" s="1592"/>
      <c r="B46" s="1593"/>
      <c r="C46" s="1593"/>
      <c r="D46" s="1593"/>
      <c r="E46" s="1593"/>
      <c r="F46" s="1593"/>
      <c r="G46" s="1594"/>
      <c r="H46" s="1594"/>
      <c r="I46" s="1595"/>
      <c r="J46" s="1596"/>
      <c r="K46" s="1595"/>
    </row>
    <row r="47" spans="1:11" ht="19.5" customHeight="1">
      <c r="A47" s="1592"/>
      <c r="B47" s="1593"/>
      <c r="C47" s="1593"/>
      <c r="D47" s="1593"/>
      <c r="E47" s="1593"/>
      <c r="F47" s="1593"/>
      <c r="G47" s="1594"/>
      <c r="H47" s="1594"/>
      <c r="I47" s="1597" t="s">
        <v>285</v>
      </c>
      <c r="J47" s="1598"/>
      <c r="K47" s="1599" t="s">
        <v>286</v>
      </c>
    </row>
    <row r="48" spans="1:11" ht="19.5" customHeight="1">
      <c r="A48" s="1582"/>
      <c r="I48" s="1597" t="s">
        <v>100</v>
      </c>
      <c r="J48" s="1598"/>
      <c r="K48" s="1597" t="s">
        <v>287</v>
      </c>
    </row>
    <row r="49" spans="7:11" ht="19.5" customHeight="1">
      <c r="G49" s="1600"/>
      <c r="H49" s="1600"/>
      <c r="I49" s="1597" t="s">
        <v>288</v>
      </c>
      <c r="J49" s="1598"/>
      <c r="K49" s="1597" t="s">
        <v>289</v>
      </c>
    </row>
    <row r="50" spans="7:11" ht="19.5" customHeight="1">
      <c r="G50" s="1601" t="s">
        <v>290</v>
      </c>
      <c r="H50" s="1600"/>
      <c r="I50" s="1602" t="s">
        <v>291</v>
      </c>
      <c r="J50" s="1598"/>
      <c r="K50" s="1602" t="s">
        <v>291</v>
      </c>
    </row>
    <row r="51" ht="19.5" customHeight="1">
      <c r="A51" s="1582" t="s">
        <v>308</v>
      </c>
    </row>
    <row r="52" ht="6" customHeight="1">
      <c r="A52" s="1582"/>
    </row>
    <row r="53" ht="19.5" customHeight="1">
      <c r="A53" s="1582" t="s">
        <v>26</v>
      </c>
    </row>
    <row r="54" ht="6" customHeight="1">
      <c r="A54" s="1582"/>
    </row>
    <row r="55" spans="1:11" ht="19.5" customHeight="1">
      <c r="A55" s="1583" t="s">
        <v>309</v>
      </c>
      <c r="G55" s="1675">
        <v>5</v>
      </c>
      <c r="I55" s="1583">
        <v>78319402</v>
      </c>
      <c r="J55" s="1585"/>
      <c r="K55" s="1585">
        <v>87596864</v>
      </c>
    </row>
    <row r="56" spans="1:11" ht="19.5" customHeight="1">
      <c r="A56" s="1583" t="s">
        <v>310</v>
      </c>
      <c r="I56" s="1583">
        <v>86607855</v>
      </c>
      <c r="J56" s="1585"/>
      <c r="K56" s="1585">
        <v>204265233</v>
      </c>
    </row>
    <row r="57" spans="1:11" ht="19.5" customHeight="1">
      <c r="A57" s="1583" t="s">
        <v>311</v>
      </c>
      <c r="G57" s="1675">
        <v>5</v>
      </c>
      <c r="I57" s="1583">
        <v>1990457</v>
      </c>
      <c r="J57" s="1585"/>
      <c r="K57" s="1585">
        <v>4182306</v>
      </c>
    </row>
    <row r="58" spans="1:11" ht="19.5" customHeight="1">
      <c r="A58" s="1583" t="s">
        <v>312</v>
      </c>
      <c r="I58" s="1583">
        <v>7240247</v>
      </c>
      <c r="J58" s="1585"/>
      <c r="K58" s="1585">
        <v>7891426</v>
      </c>
    </row>
    <row r="59" spans="1:11" ht="19.5" customHeight="1">
      <c r="A59" s="1583" t="s">
        <v>103</v>
      </c>
      <c r="I59" s="1583">
        <v>233834</v>
      </c>
      <c r="J59" s="1585"/>
      <c r="K59" s="1585">
        <v>1546251</v>
      </c>
    </row>
    <row r="60" spans="1:11" ht="19.5" customHeight="1">
      <c r="A60" s="1583" t="s">
        <v>313</v>
      </c>
      <c r="I60" s="1583">
        <v>1229233</v>
      </c>
      <c r="J60" s="1585"/>
      <c r="K60" s="1585">
        <v>1184818</v>
      </c>
    </row>
    <row r="61" spans="1:11" ht="19.5" customHeight="1">
      <c r="A61" s="1583" t="s">
        <v>314</v>
      </c>
      <c r="I61" s="1583">
        <v>6001166</v>
      </c>
      <c r="J61" s="1585"/>
      <c r="K61" s="1585">
        <v>3298278</v>
      </c>
    </row>
    <row r="62" spans="1:11" ht="19.5" customHeight="1">
      <c r="A62" s="1583" t="s">
        <v>69</v>
      </c>
      <c r="I62" s="1583">
        <v>17690198</v>
      </c>
      <c r="J62" s="1585"/>
      <c r="K62" s="1585">
        <v>14919375</v>
      </c>
    </row>
    <row r="63" spans="1:11" ht="19.5" customHeight="1">
      <c r="A63" s="1583" t="s">
        <v>66</v>
      </c>
      <c r="I63" s="1588">
        <v>1322751</v>
      </c>
      <c r="J63" s="1585"/>
      <c r="K63" s="1590">
        <v>5933521</v>
      </c>
    </row>
    <row r="64" spans="1:11" ht="6" customHeight="1">
      <c r="A64" s="1582"/>
      <c r="I64" s="1595"/>
      <c r="J64" s="1596"/>
      <c r="K64" s="1595"/>
    </row>
    <row r="65" spans="1:11" ht="19.5" customHeight="1">
      <c r="A65" s="1582" t="s">
        <v>315</v>
      </c>
      <c r="I65" s="1590">
        <f>SUM(I55:I64)</f>
        <v>200635143</v>
      </c>
      <c r="J65" s="1596"/>
      <c r="K65" s="1590">
        <f>SUM(K55:K64)</f>
        <v>330818072</v>
      </c>
    </row>
    <row r="66" spans="9:11" ht="6" customHeight="1">
      <c r="I66" s="1595"/>
      <c r="J66" s="1596"/>
      <c r="K66" s="1595"/>
    </row>
    <row r="67" spans="1:11" ht="19.5" customHeight="1">
      <c r="A67" s="1582" t="s">
        <v>316</v>
      </c>
      <c r="I67" s="1595"/>
      <c r="J67" s="1596"/>
      <c r="K67" s="1595"/>
    </row>
    <row r="68" spans="1:11" ht="6" customHeight="1">
      <c r="A68" s="1582"/>
      <c r="I68" s="1595"/>
      <c r="J68" s="1596"/>
      <c r="K68" s="1595"/>
    </row>
    <row r="69" spans="1:11" ht="19.5" customHeight="1">
      <c r="A69" s="1583" t="s">
        <v>317</v>
      </c>
      <c r="I69" s="1590">
        <v>1618565</v>
      </c>
      <c r="J69" s="1596"/>
      <c r="K69" s="1590">
        <v>1933786</v>
      </c>
    </row>
    <row r="70" spans="1:11" ht="7.5" customHeight="1">
      <c r="A70" s="1582"/>
      <c r="I70" s="1595"/>
      <c r="J70" s="1596"/>
      <c r="K70" s="1595"/>
    </row>
    <row r="71" spans="1:11" ht="19.5" customHeight="1">
      <c r="A71" s="1582" t="s">
        <v>360</v>
      </c>
      <c r="I71" s="1595">
        <f>SUM(I69:I70)</f>
        <v>1618565</v>
      </c>
      <c r="J71" s="1596"/>
      <c r="K71" s="1595">
        <f>SUM(K69:K70)</f>
        <v>1933786</v>
      </c>
    </row>
    <row r="72" spans="9:11" ht="10.5" customHeight="1">
      <c r="I72" s="1606"/>
      <c r="J72" s="1596"/>
      <c r="K72" s="1606"/>
    </row>
    <row r="73" spans="1:11" ht="4.5" customHeight="1">
      <c r="A73" s="1582"/>
      <c r="I73" s="1595"/>
      <c r="J73" s="1596"/>
      <c r="K73" s="1595"/>
    </row>
    <row r="74" spans="1:11" ht="19.5" customHeight="1">
      <c r="A74" s="1582" t="s">
        <v>361</v>
      </c>
      <c r="I74" s="1590">
        <f>SUM(I71,I65)</f>
        <v>202253708</v>
      </c>
      <c r="J74" s="1596"/>
      <c r="K74" s="1590">
        <f>SUM(K71,K65)</f>
        <v>332751858</v>
      </c>
    </row>
    <row r="75" spans="9:11" ht="6" customHeight="1">
      <c r="I75" s="1595"/>
      <c r="J75" s="1596"/>
      <c r="K75" s="1607"/>
    </row>
    <row r="76" spans="1:11" ht="19.5" customHeight="1">
      <c r="A76" s="1582" t="s">
        <v>362</v>
      </c>
      <c r="I76" s="1595"/>
      <c r="J76" s="1596"/>
      <c r="K76" s="1595"/>
    </row>
    <row r="77" spans="1:11" ht="6" customHeight="1">
      <c r="A77" s="1582"/>
      <c r="I77" s="1595"/>
      <c r="J77" s="1596"/>
      <c r="K77" s="1595"/>
    </row>
    <row r="78" spans="1:11" ht="19.5" customHeight="1">
      <c r="A78" s="1583" t="s">
        <v>363</v>
      </c>
      <c r="I78" s="1595"/>
      <c r="J78" s="1596"/>
      <c r="K78" s="1595"/>
    </row>
    <row r="79" spans="2:11" ht="19.5" customHeight="1" thickBot="1">
      <c r="B79" s="1583" t="s">
        <v>364</v>
      </c>
      <c r="I79" s="1604">
        <v>121500000</v>
      </c>
      <c r="J79" s="1596"/>
      <c r="K79" s="1604">
        <v>121500000</v>
      </c>
    </row>
    <row r="80" spans="2:11" ht="19.5" customHeight="1" thickTop="1">
      <c r="B80" s="1583" t="s">
        <v>365</v>
      </c>
      <c r="I80" s="1595"/>
      <c r="J80" s="1596"/>
      <c r="K80" s="1607"/>
    </row>
    <row r="81" spans="3:11" ht="19.5" customHeight="1">
      <c r="C81" s="1583" t="s">
        <v>366</v>
      </c>
      <c r="I81" s="1595">
        <v>121500000</v>
      </c>
      <c r="J81" s="1596"/>
      <c r="K81" s="1585">
        <v>121500000</v>
      </c>
    </row>
    <row r="82" spans="1:11" ht="19.5" customHeight="1">
      <c r="A82" s="1583" t="s">
        <v>367</v>
      </c>
      <c r="I82" s="1595">
        <v>233350000</v>
      </c>
      <c r="J82" s="1596"/>
      <c r="K82" s="1585">
        <v>233350000</v>
      </c>
    </row>
    <row r="83" spans="1:10" ht="19.5" customHeight="1">
      <c r="A83" s="1583" t="s">
        <v>150</v>
      </c>
      <c r="I83" s="1607"/>
      <c r="J83" s="1596"/>
    </row>
    <row r="84" spans="2:11" ht="19.5" customHeight="1">
      <c r="B84" s="1583" t="s">
        <v>369</v>
      </c>
      <c r="I84" s="1595">
        <v>12150000</v>
      </c>
      <c r="J84" s="1596"/>
      <c r="K84" s="1585">
        <v>12150000</v>
      </c>
    </row>
    <row r="85" spans="2:11" ht="19.5" customHeight="1">
      <c r="B85" s="1583" t="s">
        <v>154</v>
      </c>
      <c r="I85" s="1590">
        <v>233342389</v>
      </c>
      <c r="J85" s="1596"/>
      <c r="K85" s="1590">
        <v>226652659</v>
      </c>
    </row>
    <row r="86" spans="1:11" ht="6" customHeight="1">
      <c r="A86" s="1582"/>
      <c r="I86" s="1595"/>
      <c r="J86" s="1596"/>
      <c r="K86" s="1595"/>
    </row>
    <row r="87" spans="1:11" ht="19.5" customHeight="1">
      <c r="A87" s="1582" t="s">
        <v>370</v>
      </c>
      <c r="I87" s="1595">
        <f>SUM(I81:I86)</f>
        <v>600342389</v>
      </c>
      <c r="J87" s="1596"/>
      <c r="K87" s="1595">
        <f>SUM(K81:K86)</f>
        <v>593652659</v>
      </c>
    </row>
    <row r="88" spans="9:11" ht="10.5" customHeight="1">
      <c r="I88" s="1603"/>
      <c r="J88" s="1596"/>
      <c r="K88" s="1606"/>
    </row>
    <row r="89" spans="1:11" ht="4.5" customHeight="1">
      <c r="A89" s="1582"/>
      <c r="I89" s="1595"/>
      <c r="J89" s="1596"/>
      <c r="K89" s="1595"/>
    </row>
    <row r="90" spans="1:11" ht="19.5" customHeight="1" thickBot="1">
      <c r="A90" s="1582" t="s">
        <v>371</v>
      </c>
      <c r="I90" s="1604">
        <f>SUM(I87,I74)</f>
        <v>802596097</v>
      </c>
      <c r="K90" s="1604">
        <f>SUM(K87,K74)</f>
        <v>926404517</v>
      </c>
    </row>
    <row r="91" spans="1:11" ht="10.5" customHeight="1" thickTop="1">
      <c r="A91" s="1582"/>
      <c r="I91" s="1595"/>
      <c r="K91" s="1595"/>
    </row>
    <row r="92" spans="1:11" ht="19.5" customHeight="1">
      <c r="A92" s="1588" t="str">
        <f>A42</f>
        <v>หมายเหตุประกอบงบการเงินในหน้า 7 ถึง 15 เป็นส่วนหนึ่งของงบการเงินระหว่างกาลนี้</v>
      </c>
      <c r="B92" s="1588"/>
      <c r="C92" s="1588"/>
      <c r="D92" s="1588"/>
      <c r="E92" s="1588"/>
      <c r="F92" s="1588"/>
      <c r="G92" s="1589"/>
      <c r="H92" s="1589"/>
      <c r="I92" s="1590"/>
      <c r="J92" s="1591"/>
      <c r="K92" s="1590"/>
    </row>
    <row r="93" ht="21.75" customHeight="1">
      <c r="A93" s="1582" t="s">
        <v>283</v>
      </c>
    </row>
    <row r="94" ht="21.75" customHeight="1">
      <c r="A94" s="1582" t="s">
        <v>372</v>
      </c>
    </row>
    <row r="95" spans="1:11" ht="21.75" customHeight="1">
      <c r="A95" s="1587" t="s">
        <v>102</v>
      </c>
      <c r="B95" s="1588"/>
      <c r="C95" s="1588"/>
      <c r="D95" s="1588"/>
      <c r="E95" s="1588"/>
      <c r="F95" s="1588"/>
      <c r="G95" s="1589"/>
      <c r="H95" s="1589"/>
      <c r="I95" s="1590"/>
      <c r="J95" s="1591"/>
      <c r="K95" s="1590"/>
    </row>
    <row r="96" spans="1:11" ht="21.75" customHeight="1">
      <c r="A96" s="1592"/>
      <c r="B96" s="1593"/>
      <c r="C96" s="1593"/>
      <c r="D96" s="1593"/>
      <c r="E96" s="1593"/>
      <c r="F96" s="1593"/>
      <c r="G96" s="1594"/>
      <c r="H96" s="1594"/>
      <c r="I96" s="1595"/>
      <c r="J96" s="1596"/>
      <c r="K96" s="1595"/>
    </row>
    <row r="97" spans="7:11" ht="21.75" customHeight="1">
      <c r="G97" s="1600"/>
      <c r="H97" s="1600"/>
      <c r="I97" s="1597" t="s">
        <v>100</v>
      </c>
      <c r="J97" s="1598"/>
      <c r="K97" s="1597" t="s">
        <v>287</v>
      </c>
    </row>
    <row r="98" spans="7:11" ht="21.75" customHeight="1">
      <c r="G98" s="1600"/>
      <c r="H98" s="1600"/>
      <c r="I98" s="1597" t="s">
        <v>288</v>
      </c>
      <c r="J98" s="1598"/>
      <c r="K98" s="1597" t="s">
        <v>288</v>
      </c>
    </row>
    <row r="99" spans="7:11" ht="21.75" customHeight="1">
      <c r="G99" s="1601" t="s">
        <v>290</v>
      </c>
      <c r="H99" s="1600"/>
      <c r="I99" s="1602" t="s">
        <v>373</v>
      </c>
      <c r="J99" s="1598"/>
      <c r="K99" s="1602" t="s">
        <v>373</v>
      </c>
    </row>
    <row r="101" spans="1:7" ht="21.75" customHeight="1">
      <c r="A101" s="1582" t="s">
        <v>155</v>
      </c>
      <c r="G101" s="1675">
        <v>5</v>
      </c>
    </row>
    <row r="102" ht="7.5" customHeight="1">
      <c r="A102" s="1582"/>
    </row>
    <row r="103" spans="1:11" ht="21.75" customHeight="1">
      <c r="A103" s="1583" t="s">
        <v>374</v>
      </c>
      <c r="I103" s="1585">
        <v>263250339</v>
      </c>
      <c r="K103" s="1585">
        <v>372459636</v>
      </c>
    </row>
    <row r="104" spans="1:11" ht="21.75" customHeight="1">
      <c r="A104" s="1583" t="s">
        <v>375</v>
      </c>
      <c r="I104" s="1585">
        <v>3943725</v>
      </c>
      <c r="K104" s="1585">
        <v>6534232</v>
      </c>
    </row>
    <row r="105" spans="1:11" s="1674" customFormat="1" ht="21.75" customHeight="1">
      <c r="A105" s="1674" t="s">
        <v>1204</v>
      </c>
      <c r="G105" s="1675"/>
      <c r="H105" s="1675"/>
      <c r="I105" s="1676">
        <v>7651376</v>
      </c>
      <c r="J105" s="1677"/>
      <c r="K105" s="1676">
        <v>10172840</v>
      </c>
    </row>
    <row r="106" spans="1:11" ht="21.75" customHeight="1">
      <c r="A106" s="1583" t="s">
        <v>376</v>
      </c>
      <c r="I106" s="1590">
        <v>2225779</v>
      </c>
      <c r="J106" s="1596"/>
      <c r="K106" s="1590">
        <v>1025241</v>
      </c>
    </row>
    <row r="107" spans="1:11" ht="7.5" customHeight="1">
      <c r="A107" s="1582"/>
      <c r="I107" s="1595"/>
      <c r="J107" s="1596"/>
      <c r="K107" s="1595"/>
    </row>
    <row r="108" spans="1:11" ht="21.75" customHeight="1">
      <c r="A108" s="1582" t="s">
        <v>377</v>
      </c>
      <c r="I108" s="1590">
        <f>SUM(I103:I107)</f>
        <v>277071219</v>
      </c>
      <c r="K108" s="1590">
        <f>SUM(K103:K107)</f>
        <v>390191949</v>
      </c>
    </row>
    <row r="110" spans="1:11" ht="21.75" customHeight="1">
      <c r="A110" s="1582" t="s">
        <v>189</v>
      </c>
      <c r="B110" s="1582"/>
      <c r="C110" s="1582"/>
      <c r="D110" s="1582"/>
      <c r="E110" s="1582"/>
      <c r="F110" s="1582"/>
      <c r="G110" s="1675">
        <v>5</v>
      </c>
      <c r="I110" s="1597"/>
      <c r="J110" s="1598"/>
      <c r="K110" s="1597"/>
    </row>
    <row r="111" ht="7.5" customHeight="1">
      <c r="A111" s="1582"/>
    </row>
    <row r="112" spans="1:11" ht="21.75" customHeight="1">
      <c r="A112" s="1583" t="s">
        <v>980</v>
      </c>
      <c r="I112" s="1585">
        <v>234889126</v>
      </c>
      <c r="J112" s="1583"/>
      <c r="K112" s="1585">
        <v>330376476</v>
      </c>
    </row>
    <row r="113" spans="1:11" ht="21.75" customHeight="1">
      <c r="A113" s="1583" t="s">
        <v>1203</v>
      </c>
      <c r="I113" s="1676">
        <v>10573550</v>
      </c>
      <c r="J113" s="1674"/>
      <c r="K113" s="1676">
        <v>18240492</v>
      </c>
    </row>
    <row r="114" spans="1:11" ht="21.75" customHeight="1">
      <c r="A114" s="1583" t="s">
        <v>1202</v>
      </c>
      <c r="I114" s="1676">
        <v>11258967</v>
      </c>
      <c r="J114" s="1674"/>
      <c r="K114" s="1676">
        <v>17958174</v>
      </c>
    </row>
    <row r="115" spans="1:11" ht="21.75" customHeight="1">
      <c r="A115" s="1583" t="s">
        <v>805</v>
      </c>
      <c r="I115" s="1590">
        <v>10737652</v>
      </c>
      <c r="J115" s="1583"/>
      <c r="K115" s="1590">
        <v>4267840</v>
      </c>
    </row>
    <row r="116" spans="1:11" ht="7.5" customHeight="1">
      <c r="A116" s="1582"/>
      <c r="I116" s="1595"/>
      <c r="J116" s="1596"/>
      <c r="K116" s="1595"/>
    </row>
    <row r="117" spans="1:11" ht="21.75" customHeight="1">
      <c r="A117" s="1582" t="s">
        <v>378</v>
      </c>
      <c r="I117" s="1590">
        <f>SUM(I112:I116)</f>
        <v>267459295</v>
      </c>
      <c r="K117" s="1590">
        <f>SUM(K112:K116)</f>
        <v>370842982</v>
      </c>
    </row>
    <row r="119" spans="1:11" ht="21.75" customHeight="1">
      <c r="A119" s="1582" t="s">
        <v>981</v>
      </c>
      <c r="I119" s="1585">
        <f>I108-I117</f>
        <v>9611924</v>
      </c>
      <c r="K119" s="1585">
        <f>K108-K117</f>
        <v>19348967</v>
      </c>
    </row>
    <row r="120" spans="1:11" ht="21.75" customHeight="1">
      <c r="A120" s="1583" t="s">
        <v>982</v>
      </c>
      <c r="I120" s="1590">
        <v>-51756</v>
      </c>
      <c r="K120" s="1590">
        <v>-48741</v>
      </c>
    </row>
    <row r="121" spans="9:11" ht="7.5" customHeight="1">
      <c r="I121" s="1595"/>
      <c r="K121" s="1595"/>
    </row>
    <row r="122" spans="1:11" ht="21.75" customHeight="1">
      <c r="A122" s="1582" t="s">
        <v>379</v>
      </c>
      <c r="I122" s="1585">
        <f>SUM(I119:I121)</f>
        <v>9560168</v>
      </c>
      <c r="K122" s="1585">
        <f>SUM(K119:K121)</f>
        <v>19300226</v>
      </c>
    </row>
    <row r="123" spans="1:11" ht="21.75" customHeight="1">
      <c r="A123" s="1583" t="s">
        <v>380</v>
      </c>
      <c r="I123" s="1590">
        <v>-2870438</v>
      </c>
      <c r="K123" s="1590">
        <v>-5645001</v>
      </c>
    </row>
    <row r="124" ht="7.5" customHeight="1">
      <c r="A124" s="1582"/>
    </row>
    <row r="125" spans="1:11" ht="21.75" customHeight="1" thickBot="1">
      <c r="A125" s="1582" t="s">
        <v>381</v>
      </c>
      <c r="I125" s="1604">
        <f>SUM(I122:I124)</f>
        <v>6689730</v>
      </c>
      <c r="K125" s="1604">
        <f>SUM(K122:K124)</f>
        <v>13655225</v>
      </c>
    </row>
    <row r="126" spans="1:11" ht="21.75" customHeight="1" thickTop="1">
      <c r="A126" s="1582"/>
      <c r="I126" s="1595"/>
      <c r="K126" s="1595"/>
    </row>
    <row r="127" spans="1:11" ht="21.75" customHeight="1">
      <c r="A127" s="1582"/>
      <c r="I127" s="1595"/>
      <c r="K127" s="1595"/>
    </row>
    <row r="128" spans="1:11" ht="21.75" customHeight="1" thickBot="1">
      <c r="A128" s="1582" t="s">
        <v>382</v>
      </c>
      <c r="G128" s="1584">
        <v>9</v>
      </c>
      <c r="I128" s="1608">
        <v>0.550595061728395</v>
      </c>
      <c r="K128" s="1608">
        <v>1.1238868312757202</v>
      </c>
    </row>
    <row r="129" ht="21.75" customHeight="1" thickTop="1"/>
    <row r="133" spans="1:11" ht="21.75" customHeight="1">
      <c r="A133" s="1588" t="str">
        <f>A42</f>
        <v>หมายเหตุประกอบงบการเงินในหน้า 7 ถึง 15 เป็นส่วนหนึ่งของงบการเงินระหว่างกาลนี้</v>
      </c>
      <c r="B133" s="1588"/>
      <c r="C133" s="1588"/>
      <c r="D133" s="1588"/>
      <c r="E133" s="1588"/>
      <c r="F133" s="1588"/>
      <c r="G133" s="1589"/>
      <c r="H133" s="1589"/>
      <c r="I133" s="1590"/>
      <c r="J133" s="1591"/>
      <c r="K133" s="1590"/>
    </row>
  </sheetData>
  <printOptions/>
  <pageMargins left="1.2" right="0.75" top="0.5" bottom="0.6" header="0.49" footer="0.4"/>
  <pageSetup firstPageNumber="2" useFirstPageNumber="1" horizontalDpi="1200" verticalDpi="1200" orientation="portrait" paperSize="9" r:id="rId1"/>
  <headerFooter alignWithMargins="0">
    <oddFooter>&amp;R&amp;"Angsana New,Regular"&amp;P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pane xSplit="2" ySplit="5" topLeftCell="C6" activePane="bottomRight" state="frozen"/>
      <selection pane="topLeft" activeCell="G30" sqref="G30"/>
      <selection pane="topRight" activeCell="G30" sqref="G30"/>
      <selection pane="bottomLeft" activeCell="G30" sqref="G30"/>
      <selection pane="bottomRight" activeCell="G30" sqref="G30"/>
    </sheetView>
  </sheetViews>
  <sheetFormatPr defaultColWidth="9.140625" defaultRowHeight="21.75"/>
  <cols>
    <col min="1" max="1" width="9.57421875" style="1" customWidth="1"/>
    <col min="2" max="2" width="23.421875" style="1" bestFit="1" customWidth="1"/>
    <col min="3" max="3" width="7.00390625" style="1" customWidth="1"/>
    <col min="4" max="4" width="12.00390625" style="647" customWidth="1"/>
    <col min="5" max="5" width="7.140625" style="161" customWidth="1"/>
    <col min="6" max="6" width="10.7109375" style="161" customWidth="1"/>
    <col min="7" max="7" width="12.00390625" style="161" customWidth="1"/>
    <col min="8" max="8" width="11.7109375" style="161" customWidth="1"/>
    <col min="9" max="9" width="11.28125" style="266" customWidth="1"/>
    <col min="10" max="10" width="11.28125" style="161" customWidth="1"/>
    <col min="11" max="11" width="8.140625" style="161" customWidth="1"/>
    <col min="12" max="12" width="6.7109375" style="162" customWidth="1"/>
    <col min="13" max="13" width="8.7109375" style="1" hidden="1" customWidth="1"/>
    <col min="14" max="14" width="5.57421875" style="1" hidden="1" customWidth="1"/>
    <col min="15" max="15" width="10.7109375" style="1" bestFit="1" customWidth="1"/>
    <col min="16" max="16" width="9.57421875" style="1" bestFit="1" customWidth="1"/>
    <col min="17" max="16384" width="9.140625" style="1" customWidth="1"/>
  </cols>
  <sheetData>
    <row r="1" spans="1:3" ht="11.25">
      <c r="A1" s="8" t="s">
        <v>485</v>
      </c>
      <c r="B1" s="8"/>
      <c r="C1" s="8"/>
    </row>
    <row r="2" spans="1:14" ht="11.25">
      <c r="A2" s="56"/>
      <c r="B2" s="163"/>
      <c r="C2" s="56"/>
      <c r="D2" s="1055" t="str">
        <f>'Control BS'!D2</f>
        <v>Quarter 1'08</v>
      </c>
      <c r="E2" s="1686" t="s">
        <v>486</v>
      </c>
      <c r="F2" s="1699"/>
      <c r="G2" s="1700"/>
      <c r="H2" s="1055" t="str">
        <f>'Control BS'!H2</f>
        <v>Quarter 1'08</v>
      </c>
      <c r="I2" s="66" t="s">
        <v>818</v>
      </c>
      <c r="J2" s="164" t="s">
        <v>954</v>
      </c>
      <c r="K2" s="1686" t="s">
        <v>487</v>
      </c>
      <c r="L2" s="1687"/>
      <c r="M2" s="1686" t="s">
        <v>487</v>
      </c>
      <c r="N2" s="1687"/>
    </row>
    <row r="3" spans="1:14" ht="11.25">
      <c r="A3" s="57" t="s">
        <v>488</v>
      </c>
      <c r="B3" s="165"/>
      <c r="C3" s="57"/>
      <c r="D3" s="1056">
        <f>'3300'!D3</f>
        <v>39538</v>
      </c>
      <c r="E3" s="1688" t="s">
        <v>489</v>
      </c>
      <c r="F3" s="1701"/>
      <c r="G3" s="1702"/>
      <c r="H3" s="1056">
        <f>D3</f>
        <v>39538</v>
      </c>
      <c r="I3" s="166">
        <v>39172</v>
      </c>
      <c r="J3" s="415">
        <f>'3300'!J3</f>
        <v>39447</v>
      </c>
      <c r="K3" s="1707" t="s">
        <v>490</v>
      </c>
      <c r="L3" s="1708"/>
      <c r="M3" s="1707" t="s">
        <v>1117</v>
      </c>
      <c r="N3" s="1709"/>
    </row>
    <row r="4" spans="1:14" ht="11.25">
      <c r="A4" s="58" t="s">
        <v>491</v>
      </c>
      <c r="B4" s="167" t="s">
        <v>492</v>
      </c>
      <c r="C4" s="58" t="s">
        <v>493</v>
      </c>
      <c r="D4" s="1057" t="s">
        <v>869</v>
      </c>
      <c r="E4" s="168" t="s">
        <v>494</v>
      </c>
      <c r="F4" s="169" t="s">
        <v>495</v>
      </c>
      <c r="G4" s="170" t="s">
        <v>496</v>
      </c>
      <c r="H4" s="1059" t="s">
        <v>869</v>
      </c>
      <c r="I4" s="358" t="s">
        <v>869</v>
      </c>
      <c r="J4" s="57" t="s">
        <v>885</v>
      </c>
      <c r="K4" s="1688" t="str">
        <f>'3300'!K4:L4</f>
        <v>compare to YE'07</v>
      </c>
      <c r="L4" s="1710"/>
      <c r="M4" s="1688" t="str">
        <f>'3300'!M4:N4</f>
        <v>From Q1'07</v>
      </c>
      <c r="N4" s="1710"/>
    </row>
    <row r="5" spans="1:14" ht="11.25">
      <c r="A5" s="57"/>
      <c r="B5" s="163"/>
      <c r="C5" s="163"/>
      <c r="D5" s="1058" t="s">
        <v>497</v>
      </c>
      <c r="E5" s="172" t="s">
        <v>498</v>
      </c>
      <c r="F5" s="170" t="s">
        <v>497</v>
      </c>
      <c r="G5" s="170" t="s">
        <v>497</v>
      </c>
      <c r="H5" s="1060" t="s">
        <v>497</v>
      </c>
      <c r="I5" s="85" t="s">
        <v>497</v>
      </c>
      <c r="J5" s="169" t="s">
        <v>497</v>
      </c>
      <c r="K5" s="348" t="s">
        <v>499</v>
      </c>
      <c r="L5" s="348" t="s">
        <v>500</v>
      </c>
      <c r="M5" s="348" t="s">
        <v>499</v>
      </c>
      <c r="N5" s="348" t="s">
        <v>500</v>
      </c>
    </row>
    <row r="6" spans="1:14" ht="11.25">
      <c r="A6" s="174"/>
      <c r="B6" s="96"/>
      <c r="C6" s="97"/>
      <c r="D6" s="648"/>
      <c r="E6" s="649"/>
      <c r="F6" s="177"/>
      <c r="G6" s="177"/>
      <c r="H6" s="288"/>
      <c r="I6" s="931"/>
      <c r="J6" s="283"/>
      <c r="K6" s="1025"/>
      <c r="L6" s="1026"/>
      <c r="M6" s="270"/>
      <c r="N6" s="270"/>
    </row>
    <row r="7" spans="1:14" ht="11.25">
      <c r="A7" s="174" t="s">
        <v>522</v>
      </c>
      <c r="B7" s="189"/>
      <c r="C7" s="11"/>
      <c r="D7" s="650"/>
      <c r="E7" s="651"/>
      <c r="F7" s="128"/>
      <c r="G7" s="128"/>
      <c r="H7" s="288"/>
      <c r="I7" s="932"/>
      <c r="J7" s="278"/>
      <c r="K7" s="183"/>
      <c r="L7" s="1027"/>
      <c r="M7" s="272"/>
      <c r="N7" s="272"/>
    </row>
    <row r="8" spans="1:14" ht="11.25">
      <c r="A8" s="271"/>
      <c r="B8" s="189"/>
      <c r="C8" s="11"/>
      <c r="D8" s="650"/>
      <c r="E8" s="651"/>
      <c r="F8" s="128"/>
      <c r="G8" s="128"/>
      <c r="H8" s="288"/>
      <c r="I8" s="932"/>
      <c r="J8" s="278"/>
      <c r="K8" s="183"/>
      <c r="L8" s="1027"/>
      <c r="M8" s="272"/>
      <c r="N8" s="272"/>
    </row>
    <row r="9" spans="1:15" ht="12" thickBot="1">
      <c r="A9" s="229">
        <v>135110</v>
      </c>
      <c r="B9" s="128" t="s">
        <v>523</v>
      </c>
      <c r="C9" s="11" t="s">
        <v>1002</v>
      </c>
      <c r="D9" s="1267">
        <f>VLOOKUP(A9,TB!$A:$E,5,FALSE)</f>
        <v>30724870.73</v>
      </c>
      <c r="E9" s="653"/>
      <c r="F9" s="190"/>
      <c r="G9" s="190"/>
      <c r="H9" s="1270">
        <f aca="true" t="shared" si="0" ref="H9:H19">D9+F9-G9</f>
        <v>30724870.73</v>
      </c>
      <c r="I9" s="1271">
        <v>51343865.33</v>
      </c>
      <c r="J9" s="1272">
        <v>30807485.27</v>
      </c>
      <c r="K9" s="347">
        <f aca="true" t="shared" si="1" ref="K9:K19">(H9-J9)/1000</f>
        <v>-82.61453999999911</v>
      </c>
      <c r="L9" s="786">
        <f>K9/J9*1000</f>
        <v>-0.002681638545826013</v>
      </c>
      <c r="M9" s="347">
        <f>(H9-I9)/1000</f>
        <v>-20618.994599999998</v>
      </c>
      <c r="N9" s="1013">
        <f aca="true" t="shared" si="2" ref="N9:N16">M9/I9*1000</f>
        <v>-0.40158633300154767</v>
      </c>
      <c r="O9" s="656"/>
    </row>
    <row r="10" spans="1:14" ht="11.25">
      <c r="A10" s="229">
        <v>135120</v>
      </c>
      <c r="B10" s="657" t="s">
        <v>524</v>
      </c>
      <c r="C10" s="11" t="s">
        <v>1003</v>
      </c>
      <c r="D10" s="1074">
        <f>VLOOKUP(A10,TB!$A:$E,5,FALSE)</f>
        <v>40053137.49</v>
      </c>
      <c r="E10" s="653"/>
      <c r="F10" s="190"/>
      <c r="G10" s="190"/>
      <c r="H10" s="597">
        <f t="shared" si="0"/>
        <v>40053137.49</v>
      </c>
      <c r="I10" s="304">
        <v>30645432.630000003</v>
      </c>
      <c r="J10" s="597">
        <v>33279277.08</v>
      </c>
      <c r="K10" s="347">
        <f t="shared" si="1"/>
        <v>6773.860410000004</v>
      </c>
      <c r="L10" s="786">
        <f aca="true" t="shared" si="3" ref="L10:L21">K10/J10*1000</f>
        <v>0.2035459001623242</v>
      </c>
      <c r="M10" s="347">
        <f aca="true" t="shared" si="4" ref="M10:M19">(H10-I10)/1000</f>
        <v>9407.70486</v>
      </c>
      <c r="N10" s="1013">
        <f t="shared" si="2"/>
        <v>0.30698554572828685</v>
      </c>
    </row>
    <row r="11" spans="1:14" ht="11.25">
      <c r="A11" s="906">
        <v>136000</v>
      </c>
      <c r="B11" s="189" t="s">
        <v>529</v>
      </c>
      <c r="C11" s="11"/>
      <c r="D11" s="1074">
        <f>VLOOKUP(A11,TB!$A:$E,5,FALSE)</f>
        <v>4896768.66</v>
      </c>
      <c r="E11" s="653"/>
      <c r="F11" s="190"/>
      <c r="G11" s="190"/>
      <c r="H11" s="597">
        <f>D11+F11-G11</f>
        <v>4896768.66</v>
      </c>
      <c r="I11" s="304">
        <v>4824541.64</v>
      </c>
      <c r="J11" s="597">
        <v>8323198.51</v>
      </c>
      <c r="K11" s="347">
        <f t="shared" si="1"/>
        <v>-3426.4298499999995</v>
      </c>
      <c r="L11" s="786">
        <f>K11/J11*1000</f>
        <v>-0.41167224906185734</v>
      </c>
      <c r="M11" s="347">
        <f>(H11-I11)/1000</f>
        <v>72.22702000000048</v>
      </c>
      <c r="N11" s="1013">
        <f>M11/I11*1000</f>
        <v>0.014970752744917855</v>
      </c>
    </row>
    <row r="12" spans="1:14" ht="12" thickBot="1">
      <c r="A12" s="906"/>
      <c r="B12" s="181" t="s">
        <v>996</v>
      </c>
      <c r="C12" s="11"/>
      <c r="D12" s="1267">
        <f>SUM(D10:D11)</f>
        <v>44949906.150000006</v>
      </c>
      <c r="E12" s="653"/>
      <c r="F12" s="190"/>
      <c r="G12" s="190"/>
      <c r="H12" s="1265">
        <f>SUM(H10:H11)</f>
        <v>44949906.150000006</v>
      </c>
      <c r="I12" s="1266">
        <f>SUM(I10:I11)</f>
        <v>35469974.27</v>
      </c>
      <c r="J12" s="1266">
        <f>SUM(J10:J11)</f>
        <v>41602475.589999996</v>
      </c>
      <c r="K12" s="347">
        <f t="shared" si="1"/>
        <v>3347.43056000001</v>
      </c>
      <c r="L12" s="786">
        <f>K12/J12*1000</f>
        <v>0.08046229250849275</v>
      </c>
      <c r="M12" s="347"/>
      <c r="N12" s="1013"/>
    </row>
    <row r="13" spans="1:14" ht="11.25">
      <c r="A13" s="906">
        <v>135130</v>
      </c>
      <c r="B13" s="230" t="s">
        <v>525</v>
      </c>
      <c r="C13" s="11"/>
      <c r="D13" s="1074">
        <f>VLOOKUP(A13,TB!$A:$E,5,FALSE)</f>
        <v>13797806.450000001</v>
      </c>
      <c r="E13" s="653"/>
      <c r="F13" s="190"/>
      <c r="G13" s="190"/>
      <c r="H13" s="597">
        <f t="shared" si="0"/>
        <v>13797806.450000001</v>
      </c>
      <c r="I13" s="304">
        <v>10908434.1</v>
      </c>
      <c r="J13" s="597">
        <v>11996479.53</v>
      </c>
      <c r="K13" s="347">
        <f t="shared" si="1"/>
        <v>1801.3269200000018</v>
      </c>
      <c r="L13" s="786">
        <f t="shared" si="3"/>
        <v>0.15015462790524195</v>
      </c>
      <c r="M13" s="347">
        <f t="shared" si="4"/>
        <v>2889.3723500000015</v>
      </c>
      <c r="N13" s="1013">
        <f t="shared" si="2"/>
        <v>0.2648750795496854</v>
      </c>
    </row>
    <row r="14" spans="1:15" ht="11.25">
      <c r="A14" s="906">
        <v>135140</v>
      </c>
      <c r="B14" s="184" t="s">
        <v>526</v>
      </c>
      <c r="C14" s="11"/>
      <c r="D14" s="1074">
        <f>VLOOKUP(A14,TB!$A:$E,5,FALSE)</f>
        <v>1815086.21</v>
      </c>
      <c r="E14" s="653"/>
      <c r="F14" s="190"/>
      <c r="G14" s="190"/>
      <c r="H14" s="597">
        <f t="shared" si="0"/>
        <v>1815086.21</v>
      </c>
      <c r="I14" s="304">
        <v>1368437.43</v>
      </c>
      <c r="J14" s="597">
        <v>1973443.02</v>
      </c>
      <c r="K14" s="347">
        <f t="shared" si="1"/>
        <v>-158.35681000000005</v>
      </c>
      <c r="L14" s="786">
        <f t="shared" si="3"/>
        <v>-0.08024392313085384</v>
      </c>
      <c r="M14" s="347">
        <f t="shared" si="4"/>
        <v>446.64878000000004</v>
      </c>
      <c r="N14" s="1013">
        <f t="shared" si="2"/>
        <v>0.32639327908474414</v>
      </c>
      <c r="O14" s="656"/>
    </row>
    <row r="15" spans="1:15" ht="11.25">
      <c r="A15" s="906">
        <v>135150</v>
      </c>
      <c r="B15" s="230" t="s">
        <v>527</v>
      </c>
      <c r="C15" s="11"/>
      <c r="D15" s="1074">
        <f>VLOOKUP(A15,TB!$A:$E,5,FALSE)</f>
        <v>455314.85</v>
      </c>
      <c r="E15" s="653"/>
      <c r="F15" s="190"/>
      <c r="G15" s="190"/>
      <c r="H15" s="597">
        <f t="shared" si="0"/>
        <v>455314.85</v>
      </c>
      <c r="I15" s="304">
        <v>295868.77</v>
      </c>
      <c r="J15" s="597">
        <v>222562.9</v>
      </c>
      <c r="K15" s="347">
        <f t="shared" si="1"/>
        <v>232.75195</v>
      </c>
      <c r="L15" s="786">
        <f t="shared" si="3"/>
        <v>1.0457805411414032</v>
      </c>
      <c r="M15" s="347">
        <f t="shared" si="4"/>
        <v>159.44607999999997</v>
      </c>
      <c r="N15" s="1013">
        <f t="shared" si="2"/>
        <v>0.5389081111872671</v>
      </c>
      <c r="O15" s="656"/>
    </row>
    <row r="16" spans="1:15" ht="11.25">
      <c r="A16" s="906">
        <v>135160</v>
      </c>
      <c r="B16" s="184" t="s">
        <v>528</v>
      </c>
      <c r="C16" s="11"/>
      <c r="D16" s="1074">
        <f>VLOOKUP(A16,TB!$A:$E,5,FALSE)</f>
        <v>11028321.32</v>
      </c>
      <c r="E16" s="653"/>
      <c r="F16" s="190"/>
      <c r="G16" s="190"/>
      <c r="H16" s="597">
        <f t="shared" si="0"/>
        <v>11028321.32</v>
      </c>
      <c r="I16" s="304">
        <v>11178498.86</v>
      </c>
      <c r="J16" s="597">
        <v>11055655.22</v>
      </c>
      <c r="K16" s="347">
        <f t="shared" si="1"/>
        <v>-27.333900000000373</v>
      </c>
      <c r="L16" s="786">
        <f t="shared" si="3"/>
        <v>-0.002472390777034414</v>
      </c>
      <c r="M16" s="347">
        <f t="shared" si="4"/>
        <v>-150.1775399999991</v>
      </c>
      <c r="N16" s="1013">
        <f t="shared" si="2"/>
        <v>-0.013434499737471827</v>
      </c>
      <c r="O16" s="656"/>
    </row>
    <row r="17" spans="1:15" ht="11.25">
      <c r="A17" s="906">
        <v>141000</v>
      </c>
      <c r="B17" s="189" t="s">
        <v>530</v>
      </c>
      <c r="C17" s="11"/>
      <c r="D17" s="1074">
        <f>VLOOKUP(A17,TB!$A:$E,5,FALSE)</f>
        <v>10199191.02</v>
      </c>
      <c r="E17" s="653"/>
      <c r="F17" s="190"/>
      <c r="G17" s="190"/>
      <c r="H17" s="597">
        <f t="shared" si="0"/>
        <v>10199191.02</v>
      </c>
      <c r="I17" s="304">
        <v>10217615.370000001</v>
      </c>
      <c r="J17" s="597">
        <v>9278621.1</v>
      </c>
      <c r="K17" s="347">
        <f t="shared" si="1"/>
        <v>920.5699199999999</v>
      </c>
      <c r="L17" s="786">
        <f t="shared" si="3"/>
        <v>0.0992140868862508</v>
      </c>
      <c r="M17" s="347">
        <f t="shared" si="4"/>
        <v>-18.42435000000149</v>
      </c>
      <c r="N17" s="1013">
        <f>M17/I17*1000</f>
        <v>-0.0018031947115661965</v>
      </c>
      <c r="O17" s="656"/>
    </row>
    <row r="18" spans="1:15" ht="12" thickBot="1">
      <c r="A18" s="906"/>
      <c r="B18" s="181" t="s">
        <v>997</v>
      </c>
      <c r="C18" s="11"/>
      <c r="D18" s="1267">
        <f>SUM(D13:D17)</f>
        <v>37295719.849999994</v>
      </c>
      <c r="E18" s="653"/>
      <c r="F18" s="190"/>
      <c r="G18" s="190"/>
      <c r="H18" s="1268">
        <f>SUM(H13:H17)</f>
        <v>37295719.849999994</v>
      </c>
      <c r="I18" s="1269">
        <f>SUM(I13:I17)</f>
        <v>33968854.53</v>
      </c>
      <c r="J18" s="1269">
        <f>SUM(J13:J17)</f>
        <v>34526761.77</v>
      </c>
      <c r="K18" s="347">
        <f t="shared" si="1"/>
        <v>2768.958079999991</v>
      </c>
      <c r="L18" s="786">
        <f>K18/J18*1000</f>
        <v>0.08019744505567603</v>
      </c>
      <c r="M18" s="347"/>
      <c r="N18" s="1013"/>
      <c r="O18" s="656"/>
    </row>
    <row r="19" spans="1:15" ht="11.25">
      <c r="A19" s="906">
        <v>137000</v>
      </c>
      <c r="B19" s="189" t="s">
        <v>531</v>
      </c>
      <c r="C19" s="11"/>
      <c r="D19" s="1074">
        <f>VLOOKUP(A19,TB!$A:$E,5,FALSE)</f>
        <v>-3198885.4800000004</v>
      </c>
      <c r="E19" s="653"/>
      <c r="F19" s="303"/>
      <c r="G19" s="303"/>
      <c r="H19" s="597">
        <f t="shared" si="0"/>
        <v>-3198885.4800000004</v>
      </c>
      <c r="I19" s="304">
        <v>-1391867.93</v>
      </c>
      <c r="J19" s="597">
        <v>-3585300.45</v>
      </c>
      <c r="K19" s="347">
        <f t="shared" si="1"/>
        <v>386.41496999999976</v>
      </c>
      <c r="L19" s="786">
        <f t="shared" si="3"/>
        <v>-0.10777756993838541</v>
      </c>
      <c r="M19" s="347">
        <f t="shared" si="4"/>
        <v>-1807.0175500000005</v>
      </c>
      <c r="N19" s="1013">
        <f>M19/I19*1000</f>
        <v>1.2982679685708405</v>
      </c>
      <c r="O19" s="656"/>
    </row>
    <row r="20" spans="1:14" ht="11.25">
      <c r="A20" s="184"/>
      <c r="B20" s="189"/>
      <c r="C20" s="11"/>
      <c r="D20" s="658"/>
      <c r="E20" s="651"/>
      <c r="F20" s="128"/>
      <c r="G20" s="128"/>
      <c r="H20" s="597"/>
      <c r="I20" s="932"/>
      <c r="J20" s="278"/>
      <c r="K20" s="347"/>
      <c r="L20" s="786"/>
      <c r="M20" s="347"/>
      <c r="N20" s="1013"/>
    </row>
    <row r="21" spans="1:16" ht="11.25">
      <c r="A21" s="191"/>
      <c r="B21" s="387" t="s">
        <v>532</v>
      </c>
      <c r="C21" s="192"/>
      <c r="D21" s="526">
        <f>SUM(D12,D18,D19,D9)</f>
        <v>109771611.25</v>
      </c>
      <c r="E21" s="299"/>
      <c r="F21" s="295">
        <f>SUM(F6:F20)</f>
        <v>0</v>
      </c>
      <c r="G21" s="295">
        <f>SUM(G6:G20)</f>
        <v>0</v>
      </c>
      <c r="H21" s="526">
        <f>SUM(H11,H10,H18,H19,H9)</f>
        <v>109771611.25</v>
      </c>
      <c r="I21" s="526">
        <f>SUM(I12,I18,I19,I9)</f>
        <v>119390826.2</v>
      </c>
      <c r="J21" s="526">
        <f>SUM(J12,J18,J19,J9)</f>
        <v>103351422.17999999</v>
      </c>
      <c r="K21" s="295">
        <f>(H21-J21)/1000</f>
        <v>6420.189070000008</v>
      </c>
      <c r="L21" s="522">
        <f t="shared" si="3"/>
        <v>0.062119987655500385</v>
      </c>
      <c r="M21" s="749">
        <f>(H21-I21)/1000</f>
        <v>-9619.214950000003</v>
      </c>
      <c r="N21" s="1024">
        <f>M21/I21*1000</f>
        <v>-0.08056912960704515</v>
      </c>
      <c r="O21" s="656"/>
      <c r="P21" s="656"/>
    </row>
    <row r="22" spans="1:10" s="5" customFormat="1" ht="11.25">
      <c r="A22" s="291"/>
      <c r="B22" s="291"/>
      <c r="C22" s="291"/>
      <c r="D22" s="1200"/>
      <c r="E22" s="1201"/>
      <c r="F22" s="1201"/>
      <c r="G22" s="1201"/>
      <c r="H22" s="1201"/>
      <c r="I22" s="1202"/>
      <c r="J22" s="1201" t="s">
        <v>1140</v>
      </c>
    </row>
    <row r="23" spans="1:7" ht="11.25">
      <c r="A23" s="1" t="s">
        <v>1141</v>
      </c>
      <c r="G23" s="2"/>
    </row>
    <row r="24" spans="1:7" ht="11.25">
      <c r="A24" s="1" t="s">
        <v>167</v>
      </c>
      <c r="G24" s="2"/>
    </row>
    <row r="25" ht="11.25">
      <c r="G25" s="2"/>
    </row>
    <row r="26" ht="11.25">
      <c r="G26" s="2"/>
    </row>
    <row r="27" spans="4:7" ht="11.25">
      <c r="D27" s="647">
        <f>D19-J19</f>
        <v>386414.96999999974</v>
      </c>
      <c r="G27" s="2"/>
    </row>
    <row r="28" ht="11.25">
      <c r="G28" s="2"/>
    </row>
  </sheetData>
  <mergeCells count="8">
    <mergeCell ref="M2:N2"/>
    <mergeCell ref="M3:N3"/>
    <mergeCell ref="M4:N4"/>
    <mergeCell ref="K4:L4"/>
    <mergeCell ref="E2:G2"/>
    <mergeCell ref="K2:L2"/>
    <mergeCell ref="E3:G3"/>
    <mergeCell ref="K3:L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1">
      <pane xSplit="2" ySplit="5" topLeftCell="C23" activePane="bottomRight" state="frozen"/>
      <selection pane="topLeft" activeCell="G30" sqref="G30"/>
      <selection pane="topRight" activeCell="G30" sqref="G30"/>
      <selection pane="bottomLeft" activeCell="G30" sqref="G30"/>
      <selection pane="bottomRight" activeCell="G30" sqref="G30"/>
    </sheetView>
  </sheetViews>
  <sheetFormatPr defaultColWidth="9.140625" defaultRowHeight="21.75"/>
  <cols>
    <col min="1" max="1" width="11.7109375" style="50" customWidth="1"/>
    <col min="2" max="2" width="27.7109375" style="51" bestFit="1" customWidth="1"/>
    <col min="3" max="3" width="7.28125" style="51" customWidth="1"/>
    <col min="4" max="4" width="14.00390625" style="626" customWidth="1"/>
    <col min="5" max="5" width="7.140625" style="54" customWidth="1"/>
    <col min="6" max="7" width="9.57421875" style="54" customWidth="1"/>
    <col min="8" max="8" width="13.57421875" style="141" customWidth="1"/>
    <col min="9" max="10" width="12.00390625" style="266" bestFit="1" customWidth="1"/>
    <col min="11" max="11" width="12.00390625" style="54" customWidth="1"/>
    <col min="12" max="12" width="6.140625" style="54" bestFit="1" customWidth="1"/>
    <col min="13" max="13" width="9.140625" style="62" customWidth="1"/>
    <col min="14" max="14" width="5.8515625" style="54" bestFit="1" customWidth="1"/>
    <col min="15" max="15" width="10.57421875" style="51" bestFit="1" customWidth="1"/>
    <col min="16" max="16" width="7.421875" style="51" bestFit="1" customWidth="1"/>
    <col min="17" max="16384" width="9.140625" style="51" customWidth="1"/>
  </cols>
  <sheetData>
    <row r="1" spans="1:3" ht="11.25">
      <c r="A1" s="744" t="s">
        <v>485</v>
      </c>
      <c r="B1" s="60"/>
      <c r="C1" s="60"/>
    </row>
    <row r="2" spans="1:14" ht="11.25">
      <c r="A2" s="63"/>
      <c r="B2" s="64"/>
      <c r="C2" s="63"/>
      <c r="D2" s="1055" t="str">
        <f>'Control BS'!D2</f>
        <v>Quarter 1'08</v>
      </c>
      <c r="E2" s="1686" t="s">
        <v>486</v>
      </c>
      <c r="F2" s="1699"/>
      <c r="G2" s="1700"/>
      <c r="H2" s="1055" t="str">
        <f>D2</f>
        <v>Quarter 1'08</v>
      </c>
      <c r="I2" s="66" t="s">
        <v>818</v>
      </c>
      <c r="J2" s="66" t="s">
        <v>954</v>
      </c>
      <c r="K2" s="1690" t="s">
        <v>487</v>
      </c>
      <c r="L2" s="1681"/>
      <c r="M2" s="1681"/>
      <c r="N2" s="1691"/>
    </row>
    <row r="3" spans="1:14" ht="11.25">
      <c r="A3" s="67" t="s">
        <v>488</v>
      </c>
      <c r="B3" s="68"/>
      <c r="C3" s="67"/>
      <c r="D3" s="1056">
        <f>'Control BS'!D3</f>
        <v>39538</v>
      </c>
      <c r="E3" s="1688" t="s">
        <v>489</v>
      </c>
      <c r="F3" s="1701"/>
      <c r="G3" s="1702"/>
      <c r="H3" s="1056">
        <f>D3</f>
        <v>39538</v>
      </c>
      <c r="I3" s="166">
        <v>39172</v>
      </c>
      <c r="J3" s="166">
        <f>'Control BS'!J3</f>
        <v>39447</v>
      </c>
      <c r="K3" s="1694" t="s">
        <v>936</v>
      </c>
      <c r="L3" s="1682"/>
      <c r="M3" s="1682"/>
      <c r="N3" s="1695"/>
    </row>
    <row r="4" spans="1:14" ht="11.25">
      <c r="A4" s="73" t="s">
        <v>491</v>
      </c>
      <c r="B4" s="74" t="s">
        <v>492</v>
      </c>
      <c r="C4" s="73" t="s">
        <v>493</v>
      </c>
      <c r="D4" s="1059" t="s">
        <v>869</v>
      </c>
      <c r="E4" s="75" t="s">
        <v>494</v>
      </c>
      <c r="F4" s="76" t="s">
        <v>495</v>
      </c>
      <c r="G4" s="77" t="s">
        <v>496</v>
      </c>
      <c r="H4" s="1059" t="s">
        <v>869</v>
      </c>
      <c r="I4" s="358" t="s">
        <v>869</v>
      </c>
      <c r="J4" s="358" t="s">
        <v>885</v>
      </c>
      <c r="K4" s="1688" t="str">
        <f>'3400'!K4:L4</f>
        <v>compare to YE'07</v>
      </c>
      <c r="L4" s="1710"/>
      <c r="M4" s="1688" t="str">
        <f>'3400'!M4:N4</f>
        <v>From Q1'07</v>
      </c>
      <c r="N4" s="1689"/>
    </row>
    <row r="5" spans="1:14" ht="11.25">
      <c r="A5" s="81"/>
      <c r="B5" s="82"/>
      <c r="C5" s="82"/>
      <c r="D5" s="1060" t="s">
        <v>497</v>
      </c>
      <c r="E5" s="83" t="s">
        <v>498</v>
      </c>
      <c r="F5" s="77" t="s">
        <v>497</v>
      </c>
      <c r="G5" s="77" t="s">
        <v>497</v>
      </c>
      <c r="H5" s="1060" t="s">
        <v>497</v>
      </c>
      <c r="I5" s="85" t="s">
        <v>497</v>
      </c>
      <c r="J5" s="85" t="s">
        <v>497</v>
      </c>
      <c r="K5" s="76" t="s">
        <v>499</v>
      </c>
      <c r="L5" s="77" t="s">
        <v>500</v>
      </c>
      <c r="M5" s="76" t="s">
        <v>499</v>
      </c>
      <c r="N5" s="77" t="s">
        <v>500</v>
      </c>
    </row>
    <row r="6" spans="1:14" ht="11.25">
      <c r="A6" s="9"/>
      <c r="B6" s="20"/>
      <c r="C6" s="87"/>
      <c r="D6" s="421"/>
      <c r="E6" s="13"/>
      <c r="F6" s="12"/>
      <c r="G6" s="12"/>
      <c r="H6" s="115"/>
      <c r="I6" s="116"/>
      <c r="J6" s="116"/>
      <c r="K6" s="14"/>
      <c r="L6" s="15"/>
      <c r="M6" s="16"/>
      <c r="N6" s="15"/>
    </row>
    <row r="7" spans="1:14" ht="11.25">
      <c r="A7" s="22"/>
      <c r="B7" s="23"/>
      <c r="C7" s="91"/>
      <c r="D7" s="421"/>
      <c r="E7" s="13"/>
      <c r="F7" s="12"/>
      <c r="G7" s="12"/>
      <c r="H7" s="115"/>
      <c r="I7" s="116"/>
      <c r="J7" s="116"/>
      <c r="K7" s="14"/>
      <c r="L7" s="15"/>
      <c r="M7" s="16"/>
      <c r="N7" s="15"/>
    </row>
    <row r="8" spans="1:14" ht="11.25">
      <c r="A8" s="22"/>
      <c r="B8" s="203" t="s">
        <v>939</v>
      </c>
      <c r="C8" s="91"/>
      <c r="D8" s="421"/>
      <c r="E8" s="13"/>
      <c r="F8" s="12"/>
      <c r="G8" s="12"/>
      <c r="H8" s="115"/>
      <c r="I8" s="116"/>
      <c r="J8" s="116"/>
      <c r="K8" s="14"/>
      <c r="L8" s="15"/>
      <c r="M8" s="16"/>
      <c r="N8" s="15"/>
    </row>
    <row r="9" spans="1:14" ht="11.25">
      <c r="A9" s="28"/>
      <c r="B9" s="203"/>
      <c r="C9" s="91"/>
      <c r="D9" s="421"/>
      <c r="E9" s="13"/>
      <c r="F9" s="12"/>
      <c r="G9" s="12"/>
      <c r="H9" s="115"/>
      <c r="I9" s="116"/>
      <c r="J9" s="116"/>
      <c r="K9" s="14"/>
      <c r="L9" s="15"/>
      <c r="M9" s="16"/>
      <c r="N9" s="15"/>
    </row>
    <row r="10" spans="1:15" ht="11.25">
      <c r="A10" s="19"/>
      <c r="B10" s="106" t="s">
        <v>557</v>
      </c>
      <c r="C10" s="91"/>
      <c r="D10" s="421"/>
      <c r="E10" s="13"/>
      <c r="F10" s="12"/>
      <c r="G10" s="12"/>
      <c r="H10" s="115"/>
      <c r="I10" s="116"/>
      <c r="J10" s="116"/>
      <c r="K10" s="14"/>
      <c r="L10" s="15"/>
      <c r="M10" s="16"/>
      <c r="N10" s="15"/>
      <c r="O10" s="50"/>
    </row>
    <row r="11" spans="1:16" ht="11.25">
      <c r="A11" s="901">
        <v>125121</v>
      </c>
      <c r="B11" s="109" t="s">
        <v>558</v>
      </c>
      <c r="C11" s="91"/>
      <c r="D11" s="1074">
        <f>VLOOKUP(A11,TB!$A:$E,5,FALSE)</f>
        <v>4033057.6</v>
      </c>
      <c r="E11" s="13"/>
      <c r="F11" s="12"/>
      <c r="G11" s="12"/>
      <c r="H11" s="115">
        <f>D11+F11-G11</f>
        <v>4033057.6</v>
      </c>
      <c r="I11" s="332">
        <v>5972380.03</v>
      </c>
      <c r="J11" s="332">
        <v>6615536.82</v>
      </c>
      <c r="K11" s="347">
        <f>(H11-J11)/1000</f>
        <v>-2582.47922</v>
      </c>
      <c r="L11" s="786">
        <f>K11/J11*1000</f>
        <v>-0.39036578440508174</v>
      </c>
      <c r="M11" s="347">
        <f>(H11-I11)/1000</f>
        <v>-1939.3224300000002</v>
      </c>
      <c r="N11" s="1013">
        <v>1</v>
      </c>
      <c r="O11" s="141"/>
      <c r="P11" s="149"/>
    </row>
    <row r="12" spans="1:14" ht="11.25">
      <c r="A12" s="901">
        <v>125130</v>
      </c>
      <c r="B12" s="109" t="s">
        <v>559</v>
      </c>
      <c r="C12" s="91"/>
      <c r="D12" s="1074">
        <f>VLOOKUP(A12,TB!$A:$E,5,FALSE)</f>
        <v>0</v>
      </c>
      <c r="E12" s="13"/>
      <c r="F12" s="12"/>
      <c r="G12" s="12"/>
      <c r="H12" s="115">
        <f>D12+F12-G12</f>
        <v>0</v>
      </c>
      <c r="I12" s="332">
        <v>0</v>
      </c>
      <c r="J12" s="332">
        <v>0</v>
      </c>
      <c r="K12" s="347"/>
      <c r="L12" s="786"/>
      <c r="M12" s="347"/>
      <c r="N12" s="1013"/>
    </row>
    <row r="13" spans="1:14" ht="12" thickBot="1">
      <c r="A13" s="28"/>
      <c r="B13" s="22" t="s">
        <v>587</v>
      </c>
      <c r="C13" s="91"/>
      <c r="D13" s="204">
        <f>SUM(D11:D12)</f>
        <v>4033057.6</v>
      </c>
      <c r="E13" s="204">
        <f>SUM(E11:E12)</f>
        <v>0</v>
      </c>
      <c r="F13" s="204">
        <f>SUM(F11:F12)</f>
        <v>0</v>
      </c>
      <c r="G13" s="204">
        <f>SUM(G11:G12)</f>
        <v>0</v>
      </c>
      <c r="H13" s="204">
        <f>D13+F13-G13</f>
        <v>4033057.6</v>
      </c>
      <c r="I13" s="204">
        <v>5972380.03</v>
      </c>
      <c r="J13" s="204">
        <f>SUM(J11:J12)</f>
        <v>6615536.82</v>
      </c>
      <c r="K13" s="746">
        <f>(H13-J13)/1000</f>
        <v>-2582.47922</v>
      </c>
      <c r="L13" s="1018">
        <f>K13/J13*1000</f>
        <v>-0.39036578440508174</v>
      </c>
      <c r="M13" s="746">
        <f>(H13-I13)/1000</f>
        <v>-1939.3224300000002</v>
      </c>
      <c r="N13" s="1019">
        <v>1</v>
      </c>
    </row>
    <row r="14" spans="1:14" ht="12" thickTop="1">
      <c r="A14" s="28"/>
      <c r="B14" s="22"/>
      <c r="C14" s="91"/>
      <c r="D14" s="419"/>
      <c r="E14" s="13"/>
      <c r="F14" s="12"/>
      <c r="G14" s="12"/>
      <c r="H14" s="115"/>
      <c r="I14" s="332"/>
      <c r="J14" s="1305" t="s">
        <v>1140</v>
      </c>
      <c r="K14" s="187"/>
      <c r="L14" s="679"/>
      <c r="M14" s="27"/>
      <c r="N14" s="21"/>
    </row>
    <row r="15" spans="1:14" ht="11.25">
      <c r="A15" s="28"/>
      <c r="B15" s="205" t="s">
        <v>944</v>
      </c>
      <c r="C15" s="91"/>
      <c r="D15" s="419"/>
      <c r="E15" s="13"/>
      <c r="F15" s="12"/>
      <c r="G15" s="12"/>
      <c r="H15" s="115"/>
      <c r="I15" s="332"/>
      <c r="J15" s="332"/>
      <c r="K15" s="187"/>
      <c r="L15" s="679"/>
      <c r="M15" s="27"/>
      <c r="N15" s="21"/>
    </row>
    <row r="16" spans="1:14" ht="11.25">
      <c r="A16" s="901">
        <v>152130</v>
      </c>
      <c r="B16" s="206" t="s">
        <v>945</v>
      </c>
      <c r="C16" s="91"/>
      <c r="D16" s="1074">
        <f>VLOOKUP(A16,TB!$A:$E,5,FALSE)</f>
        <v>0</v>
      </c>
      <c r="E16" s="13"/>
      <c r="F16" s="12"/>
      <c r="G16" s="12"/>
      <c r="H16" s="115">
        <f>D16+F16-G16</f>
        <v>0</v>
      </c>
      <c r="I16" s="332">
        <v>0</v>
      </c>
      <c r="J16" s="332">
        <v>0</v>
      </c>
      <c r="K16" s="347">
        <f>(H16-J16)/1000</f>
        <v>0</v>
      </c>
      <c r="L16" s="786"/>
      <c r="M16" s="347">
        <f>(H16-I16)/1000</f>
        <v>0</v>
      </c>
      <c r="N16" s="1013"/>
    </row>
    <row r="17" spans="1:14" ht="12" thickBot="1">
      <c r="A17" s="28"/>
      <c r="B17" s="22" t="s">
        <v>587</v>
      </c>
      <c r="C17" s="91"/>
      <c r="D17" s="48">
        <f>SUM(D16)</f>
        <v>0</v>
      </c>
      <c r="E17" s="48">
        <f>SUM(E16)</f>
        <v>0</v>
      </c>
      <c r="F17" s="48">
        <f>SUM(F16)</f>
        <v>0</v>
      </c>
      <c r="G17" s="48">
        <f>SUM(G16)</f>
        <v>0</v>
      </c>
      <c r="H17" s="204">
        <f>D17+F17-G17</f>
        <v>0</v>
      </c>
      <c r="I17" s="365">
        <v>0</v>
      </c>
      <c r="J17" s="365">
        <v>0</v>
      </c>
      <c r="K17" s="746">
        <f>(H17-J17)/1000</f>
        <v>0</v>
      </c>
      <c r="L17" s="1018"/>
      <c r="M17" s="746">
        <f>(H17-I17)/1000</f>
        <v>0</v>
      </c>
      <c r="N17" s="1019"/>
    </row>
    <row r="18" spans="1:14" ht="12" thickTop="1">
      <c r="A18" s="28"/>
      <c r="B18" s="22"/>
      <c r="C18" s="91"/>
      <c r="D18" s="419"/>
      <c r="E18" s="13"/>
      <c r="F18" s="12"/>
      <c r="G18" s="12"/>
      <c r="H18" s="115"/>
      <c r="I18" s="332"/>
      <c r="J18" s="332">
        <v>0</v>
      </c>
      <c r="K18" s="187"/>
      <c r="L18" s="679"/>
      <c r="M18" s="27"/>
      <c r="N18" s="21"/>
    </row>
    <row r="19" spans="1:14" ht="11.25">
      <c r="A19" s="28"/>
      <c r="B19" s="106" t="s">
        <v>937</v>
      </c>
      <c r="C19" s="91"/>
      <c r="D19" s="419"/>
      <c r="E19" s="13"/>
      <c r="F19" s="12"/>
      <c r="G19" s="12"/>
      <c r="H19" s="115"/>
      <c r="I19" s="332"/>
      <c r="J19" s="332">
        <v>0</v>
      </c>
      <c r="K19" s="187"/>
      <c r="L19" s="679"/>
      <c r="M19" s="27"/>
      <c r="N19" s="21"/>
    </row>
    <row r="20" spans="1:14" ht="11.25">
      <c r="A20" s="901"/>
      <c r="B20" s="109" t="s">
        <v>1020</v>
      </c>
      <c r="C20" s="91"/>
      <c r="D20" s="450"/>
      <c r="E20" s="13"/>
      <c r="F20" s="12"/>
      <c r="G20" s="12"/>
      <c r="H20" s="115">
        <f>D20+F20-G20</f>
        <v>0</v>
      </c>
      <c r="I20" s="332">
        <v>0</v>
      </c>
      <c r="J20" s="332">
        <v>0</v>
      </c>
      <c r="K20" s="347">
        <f>(H20-J20)/1000</f>
        <v>0</v>
      </c>
      <c r="L20" s="786"/>
      <c r="M20" s="347">
        <f>(H20-I20)/1000</f>
        <v>0</v>
      </c>
      <c r="N20" s="1013"/>
    </row>
    <row r="21" spans="1:14" ht="11.25">
      <c r="A21" s="28"/>
      <c r="B21" s="109"/>
      <c r="C21" s="91"/>
      <c r="D21" s="419"/>
      <c r="E21" s="13"/>
      <c r="F21" s="12"/>
      <c r="G21" s="12"/>
      <c r="H21" s="115"/>
      <c r="I21" s="332"/>
      <c r="J21" s="332">
        <v>0</v>
      </c>
      <c r="K21" s="347">
        <f>(H21-J21)/1000</f>
        <v>0</v>
      </c>
      <c r="L21" s="786"/>
      <c r="M21" s="347">
        <f>(H21-I21)/1000</f>
        <v>0</v>
      </c>
      <c r="N21" s="1013"/>
    </row>
    <row r="22" spans="1:14" ht="12" thickBot="1">
      <c r="A22" s="22"/>
      <c r="B22" s="22" t="s">
        <v>587</v>
      </c>
      <c r="C22" s="91"/>
      <c r="D22" s="207">
        <f>SUM(D20:D21)</f>
        <v>0</v>
      </c>
      <c r="E22" s="635"/>
      <c r="F22" s="211"/>
      <c r="G22" s="211"/>
      <c r="H22" s="204">
        <f>D22+F22-G22</f>
        <v>0</v>
      </c>
      <c r="I22" s="367">
        <v>0</v>
      </c>
      <c r="J22" s="367">
        <v>0</v>
      </c>
      <c r="K22" s="746">
        <f>(H22-J22)/1000</f>
        <v>0</v>
      </c>
      <c r="L22" s="1018"/>
      <c r="M22" s="746">
        <f>(H22-I22)/1000</f>
        <v>0</v>
      </c>
      <c r="N22" s="1019"/>
    </row>
    <row r="23" spans="1:14" ht="12" thickTop="1">
      <c r="A23" s="22"/>
      <c r="B23" s="109"/>
      <c r="C23" s="91"/>
      <c r="D23" s="421"/>
      <c r="E23" s="13"/>
      <c r="F23" s="12"/>
      <c r="G23" s="12"/>
      <c r="H23" s="115"/>
      <c r="I23" s="116"/>
      <c r="J23" s="116">
        <v>0</v>
      </c>
      <c r="K23" s="187"/>
      <c r="L23" s="679"/>
      <c r="M23" s="27"/>
      <c r="N23" s="21"/>
    </row>
    <row r="24" spans="1:14" s="3" customFormat="1" ht="12" thickBot="1">
      <c r="A24" s="387"/>
      <c r="B24" s="388" t="s">
        <v>560</v>
      </c>
      <c r="C24" s="192"/>
      <c r="D24" s="422">
        <f>D13+D22+D17</f>
        <v>4033057.6</v>
      </c>
      <c r="E24" s="329"/>
      <c r="F24" s="102">
        <f>SUM(F10:F23)</f>
        <v>0</v>
      </c>
      <c r="G24" s="102">
        <f>SUM(G10:G23)</f>
        <v>0</v>
      </c>
      <c r="H24" s="1306">
        <f>D24+F24-G24</f>
        <v>4033057.6</v>
      </c>
      <c r="I24" s="317">
        <v>5972380.03</v>
      </c>
      <c r="J24" s="317">
        <f>J13+J22+J17</f>
        <v>6615536.82</v>
      </c>
      <c r="K24" s="746">
        <f>(H24-J24)/1000</f>
        <v>-2582.47922</v>
      </c>
      <c r="L24" s="1018">
        <f>K24/J24*1000</f>
        <v>-0.39036578440508174</v>
      </c>
      <c r="M24" s="746">
        <f>(H24-I24)/1000</f>
        <v>-1939.3224300000002</v>
      </c>
      <c r="N24" s="1019">
        <v>1</v>
      </c>
    </row>
    <row r="25" spans="1:14" ht="12" thickTop="1">
      <c r="A25" s="22"/>
      <c r="B25" s="209"/>
      <c r="C25" s="91"/>
      <c r="D25" s="421"/>
      <c r="E25" s="13"/>
      <c r="F25" s="12"/>
      <c r="G25" s="12"/>
      <c r="H25" s="115"/>
      <c r="I25" s="116"/>
      <c r="J25" s="116"/>
      <c r="K25" s="187"/>
      <c r="L25" s="679"/>
      <c r="M25" s="27"/>
      <c r="N25" s="21"/>
    </row>
    <row r="26" spans="1:14" ht="11.25" hidden="1">
      <c r="A26" s="22"/>
      <c r="B26" s="209"/>
      <c r="C26" s="91"/>
      <c r="D26" s="421"/>
      <c r="E26" s="13"/>
      <c r="F26" s="12"/>
      <c r="G26" s="12"/>
      <c r="H26" s="115"/>
      <c r="I26" s="116"/>
      <c r="J26" s="116"/>
      <c r="K26" s="187"/>
      <c r="L26" s="679"/>
      <c r="M26" s="27"/>
      <c r="N26" s="21"/>
    </row>
    <row r="27" spans="1:14" ht="11.25" hidden="1">
      <c r="A27" s="22"/>
      <c r="B27" s="209"/>
      <c r="C27" s="91"/>
      <c r="D27" s="421"/>
      <c r="E27" s="13"/>
      <c r="F27" s="12"/>
      <c r="G27" s="12"/>
      <c r="H27" s="115"/>
      <c r="I27" s="116"/>
      <c r="J27" s="116"/>
      <c r="K27" s="187"/>
      <c r="L27" s="679"/>
      <c r="M27" s="27"/>
      <c r="N27" s="21"/>
    </row>
    <row r="28" spans="1:15" ht="11.25">
      <c r="A28" s="98"/>
      <c r="B28" s="203" t="s">
        <v>938</v>
      </c>
      <c r="C28" s="91"/>
      <c r="D28" s="421"/>
      <c r="E28" s="13"/>
      <c r="F28" s="12"/>
      <c r="G28" s="12"/>
      <c r="H28" s="115"/>
      <c r="I28" s="116"/>
      <c r="J28" s="116"/>
      <c r="K28" s="187"/>
      <c r="L28" s="679"/>
      <c r="M28" s="27"/>
      <c r="N28" s="21"/>
      <c r="O28" s="141"/>
    </row>
    <row r="29" spans="1:15" ht="11.25">
      <c r="A29" s="98"/>
      <c r="B29" s="210"/>
      <c r="C29" s="91"/>
      <c r="D29" s="421"/>
      <c r="E29" s="13"/>
      <c r="F29" s="12"/>
      <c r="G29" s="12"/>
      <c r="H29" s="115"/>
      <c r="I29" s="116"/>
      <c r="J29" s="116"/>
      <c r="K29" s="187"/>
      <c r="L29" s="679"/>
      <c r="M29" s="27"/>
      <c r="N29" s="21"/>
      <c r="O29" s="141"/>
    </row>
    <row r="30" spans="1:15" ht="11.25">
      <c r="A30" s="22"/>
      <c r="B30" s="106" t="s">
        <v>561</v>
      </c>
      <c r="C30" s="91"/>
      <c r="D30" s="421"/>
      <c r="E30" s="13"/>
      <c r="F30" s="12"/>
      <c r="G30" s="12"/>
      <c r="H30" s="115"/>
      <c r="I30" s="116"/>
      <c r="J30" s="116"/>
      <c r="K30" s="187"/>
      <c r="L30" s="679"/>
      <c r="M30" s="27"/>
      <c r="N30" s="21"/>
      <c r="O30" s="141"/>
    </row>
    <row r="31" spans="1:16" ht="11.25">
      <c r="A31" s="901">
        <v>230131</v>
      </c>
      <c r="B31" s="109" t="s">
        <v>562</v>
      </c>
      <c r="C31" s="91"/>
      <c r="D31" s="1074">
        <f>-VLOOKUP(A31,TB!$A:$E,5,FALSE)</f>
        <v>8060992.4</v>
      </c>
      <c r="E31" s="13"/>
      <c r="F31" s="12"/>
      <c r="G31" s="12"/>
      <c r="H31" s="115">
        <f>D31+F31-G31</f>
        <v>8060992.4</v>
      </c>
      <c r="I31" s="332">
        <v>5321324</v>
      </c>
      <c r="J31" s="332">
        <v>10833983.280000001</v>
      </c>
      <c r="K31" s="347">
        <f>(H31-J31)/1000</f>
        <v>-2772.9908800000007</v>
      </c>
      <c r="L31" s="786">
        <f>K31/J31*1000</f>
        <v>-0.25595303300117334</v>
      </c>
      <c r="M31" s="347">
        <f>(H31-I31)/1000</f>
        <v>2739.6684000000005</v>
      </c>
      <c r="N31" s="1013">
        <f>M31/I31*1000</f>
        <v>0.5148471320295476</v>
      </c>
      <c r="O31" s="141"/>
      <c r="P31" s="142"/>
    </row>
    <row r="32" spans="1:16" ht="11.25">
      <c r="A32" s="901">
        <v>230132</v>
      </c>
      <c r="B32" s="109" t="s">
        <v>563</v>
      </c>
      <c r="C32" s="91"/>
      <c r="D32" s="1074">
        <f>VLOOKUP(A32,TB!$A:$E,5,FALSE)</f>
        <v>0</v>
      </c>
      <c r="E32" s="13"/>
      <c r="F32" s="12"/>
      <c r="G32" s="12"/>
      <c r="H32" s="115">
        <f>D32+F32-G32</f>
        <v>0</v>
      </c>
      <c r="I32" s="332">
        <v>0</v>
      </c>
      <c r="J32" s="332">
        <v>0</v>
      </c>
      <c r="K32" s="347">
        <f>(H32-J32)/1000</f>
        <v>0</v>
      </c>
      <c r="L32" s="786"/>
      <c r="M32" s="347">
        <f>(H32-I32)/1000</f>
        <v>0</v>
      </c>
      <c r="N32" s="1013"/>
      <c r="O32" s="141"/>
      <c r="P32" s="142"/>
    </row>
    <row r="33" spans="1:16" ht="11.25">
      <c r="A33" s="28"/>
      <c r="B33" s="109"/>
      <c r="C33" s="91"/>
      <c r="D33" s="421"/>
      <c r="E33" s="13"/>
      <c r="F33" s="12"/>
      <c r="G33" s="12"/>
      <c r="H33" s="115"/>
      <c r="I33" s="116"/>
      <c r="J33" s="116"/>
      <c r="K33" s="347"/>
      <c r="L33" s="786"/>
      <c r="M33" s="347"/>
      <c r="N33" s="1013"/>
      <c r="O33" s="141"/>
      <c r="P33" s="685"/>
    </row>
    <row r="34" spans="1:16" ht="12" thickBot="1">
      <c r="A34" s="28"/>
      <c r="B34" s="22" t="s">
        <v>587</v>
      </c>
      <c r="C34" s="91"/>
      <c r="D34" s="634">
        <f>SUM(D31:D33)</f>
        <v>8060992.4</v>
      </c>
      <c r="E34" s="635"/>
      <c r="F34" s="211"/>
      <c r="G34" s="211"/>
      <c r="H34" s="204">
        <f>D34+F34-G34</f>
        <v>8060992.4</v>
      </c>
      <c r="I34" s="367">
        <v>5321324</v>
      </c>
      <c r="J34" s="367">
        <f>SUM(J31:J33)</f>
        <v>10833983.280000001</v>
      </c>
      <c r="K34" s="746">
        <f>(H34-J34)/1000</f>
        <v>-2772.9908800000007</v>
      </c>
      <c r="L34" s="1018">
        <f>K34/J34*1000</f>
        <v>-0.25595303300117334</v>
      </c>
      <c r="M34" s="746">
        <f>(H34-I34)/1000</f>
        <v>2739.6684000000005</v>
      </c>
      <c r="N34" s="1019">
        <f>M34/I34*1000</f>
        <v>0.5148471320295476</v>
      </c>
      <c r="O34" s="141"/>
      <c r="P34" s="142"/>
    </row>
    <row r="35" spans="1:16" ht="12" thickTop="1">
      <c r="A35" s="28"/>
      <c r="B35" s="106" t="s">
        <v>937</v>
      </c>
      <c r="C35" s="91"/>
      <c r="D35" s="421"/>
      <c r="E35" s="13"/>
      <c r="F35" s="12"/>
      <c r="G35" s="12"/>
      <c r="H35" s="115"/>
      <c r="I35" s="116"/>
      <c r="J35" s="116"/>
      <c r="K35" s="187"/>
      <c r="L35" s="679"/>
      <c r="M35" s="27"/>
      <c r="N35" s="21"/>
      <c r="O35" s="141"/>
      <c r="P35" s="142"/>
    </row>
    <row r="36" spans="1:16" ht="11.25">
      <c r="A36" s="901">
        <v>245100</v>
      </c>
      <c r="B36" s="109" t="s">
        <v>564</v>
      </c>
      <c r="C36" s="91"/>
      <c r="D36" s="1074">
        <f>VLOOKUP(A36,TB!$A:$E,5,FALSE)</f>
        <v>0</v>
      </c>
      <c r="E36" s="13"/>
      <c r="F36" s="12"/>
      <c r="G36" s="12"/>
      <c r="H36" s="115">
        <f>D36+F36-G36</f>
        <v>0</v>
      </c>
      <c r="I36" s="116">
        <v>0</v>
      </c>
      <c r="J36" s="116">
        <v>0</v>
      </c>
      <c r="K36" s="347">
        <f>(H36-J36)/1000</f>
        <v>0</v>
      </c>
      <c r="L36" s="786"/>
      <c r="M36" s="347">
        <f>(H36-I36)/1000</f>
        <v>0</v>
      </c>
      <c r="N36" s="1013"/>
      <c r="O36" s="141"/>
      <c r="P36" s="142"/>
    </row>
    <row r="37" spans="1:16" ht="11.25">
      <c r="A37" s="901">
        <v>245101</v>
      </c>
      <c r="B37" s="109" t="s">
        <v>565</v>
      </c>
      <c r="C37" s="91"/>
      <c r="D37" s="1074">
        <f>-VLOOKUP(A37,TB!$A:$E,5,FALSE)</f>
        <v>120546.49</v>
      </c>
      <c r="E37" s="13"/>
      <c r="F37" s="12"/>
      <c r="G37" s="12"/>
      <c r="H37" s="115">
        <f>D37+F37-G37</f>
        <v>120546.49</v>
      </c>
      <c r="I37" s="116">
        <v>200904.23</v>
      </c>
      <c r="J37" s="116">
        <v>346049.16</v>
      </c>
      <c r="K37" s="347">
        <f>(H37-J37)/1000</f>
        <v>-225.50267</v>
      </c>
      <c r="L37" s="786">
        <f>K37/J37*1000</f>
        <v>-0.6516492338834171</v>
      </c>
      <c r="M37" s="347">
        <f>(H37-I37)/1000</f>
        <v>-80.35774</v>
      </c>
      <c r="N37" s="1013">
        <f>M37/I37*1000</f>
        <v>-0.3999803289358318</v>
      </c>
      <c r="O37" s="141"/>
      <c r="P37" s="142"/>
    </row>
    <row r="38" spans="1:14" ht="11.25">
      <c r="A38" s="907">
        <v>242205</v>
      </c>
      <c r="B38" s="109" t="s">
        <v>964</v>
      </c>
      <c r="C38" s="91"/>
      <c r="D38" s="1074">
        <f>-VLOOKUP(A38,TB!$A:$E,5,FALSE)</f>
        <v>4234179.93</v>
      </c>
      <c r="E38" s="13"/>
      <c r="F38" s="12"/>
      <c r="G38" s="12"/>
      <c r="H38" s="115">
        <f>D38+F38-G38</f>
        <v>4234179.93</v>
      </c>
      <c r="I38" s="116">
        <v>4913641.5</v>
      </c>
      <c r="J38" s="116">
        <v>5085984.95</v>
      </c>
      <c r="K38" s="347">
        <f>(H38-J38)/1000</f>
        <v>-851.8050200000005</v>
      </c>
      <c r="L38" s="786">
        <f>K38/J38*1000</f>
        <v>-0.16748083770873143</v>
      </c>
      <c r="M38" s="347">
        <f>(H38-I38)/1000</f>
        <v>-679.4615700000003</v>
      </c>
      <c r="N38" s="1013">
        <f>M38/I38*1000</f>
        <v>-0.13828065600634484</v>
      </c>
    </row>
    <row r="39" spans="1:14" ht="11.25">
      <c r="A39" s="22"/>
      <c r="B39" s="342" t="s">
        <v>1116</v>
      </c>
      <c r="C39" s="309"/>
      <c r="D39" s="506"/>
      <c r="E39" s="390"/>
      <c r="F39" s="116"/>
      <c r="G39" s="116">
        <f>'Client Adj'!F9</f>
        <v>484522.08</v>
      </c>
      <c r="H39" s="115">
        <f>D39-F39+G39</f>
        <v>484522.08</v>
      </c>
      <c r="I39" s="116">
        <v>366730.27</v>
      </c>
      <c r="J39" s="116">
        <v>235554.5</v>
      </c>
      <c r="K39" s="347">
        <f>(H39-J39)/1000</f>
        <v>248.96758000000003</v>
      </c>
      <c r="L39" s="786"/>
      <c r="M39" s="347">
        <f>(H39-I39)/1000</f>
        <v>117.79181</v>
      </c>
      <c r="N39" s="1013"/>
    </row>
    <row r="40" spans="1:14" ht="12" thickBot="1">
      <c r="A40" s="22"/>
      <c r="B40" s="28" t="s">
        <v>587</v>
      </c>
      <c r="C40" s="91"/>
      <c r="D40" s="634">
        <f>SUM(D36:D39)</f>
        <v>4354726.42</v>
      </c>
      <c r="E40" s="636"/>
      <c r="F40" s="211"/>
      <c r="G40" s="211">
        <f>SUM(G36:G39)</f>
        <v>484522.08</v>
      </c>
      <c r="H40" s="204">
        <f>D40+F40-G40</f>
        <v>3870204.34</v>
      </c>
      <c r="I40" s="367">
        <v>5481276</v>
      </c>
      <c r="J40" s="367">
        <f>SUM(J36:J39)</f>
        <v>5667588.61</v>
      </c>
      <c r="K40" s="746">
        <f>(H40-J40)/1000</f>
        <v>-1797.3842700000005</v>
      </c>
      <c r="L40" s="1018">
        <f>K40/J40*1000</f>
        <v>-0.31713386303809377</v>
      </c>
      <c r="M40" s="746">
        <f>(H40-I40)/1000</f>
        <v>-1611.07166</v>
      </c>
      <c r="N40" s="1019">
        <f>M40/I40*1000</f>
        <v>-0.2939227398875736</v>
      </c>
    </row>
    <row r="41" spans="1:14" ht="12" thickTop="1">
      <c r="A41" s="92"/>
      <c r="B41" s="43"/>
      <c r="C41" s="91"/>
      <c r="D41" s="421"/>
      <c r="E41" s="13"/>
      <c r="F41" s="12"/>
      <c r="G41" s="12"/>
      <c r="H41" s="115"/>
      <c r="I41" s="116"/>
      <c r="J41" s="116"/>
      <c r="K41" s="187"/>
      <c r="L41" s="679"/>
      <c r="M41" s="27"/>
      <c r="N41" s="21"/>
    </row>
    <row r="42" spans="1:14" ht="11.25">
      <c r="A42" s="22"/>
      <c r="B42" s="86"/>
      <c r="C42" s="91"/>
      <c r="D42" s="421"/>
      <c r="E42" s="13"/>
      <c r="F42" s="12"/>
      <c r="G42" s="12"/>
      <c r="H42" s="115"/>
      <c r="I42" s="116"/>
      <c r="J42" s="116"/>
      <c r="K42" s="187"/>
      <c r="L42" s="679"/>
      <c r="M42" s="27"/>
      <c r="N42" s="21"/>
    </row>
    <row r="43" spans="1:14" ht="11.25">
      <c r="A43" s="22"/>
      <c r="B43" s="86"/>
      <c r="C43" s="91"/>
      <c r="D43" s="421"/>
      <c r="E43" s="13"/>
      <c r="F43" s="12"/>
      <c r="G43" s="12"/>
      <c r="H43" s="115"/>
      <c r="I43" s="116"/>
      <c r="J43" s="116"/>
      <c r="K43" s="187"/>
      <c r="L43" s="679"/>
      <c r="M43" s="27"/>
      <c r="N43" s="21"/>
    </row>
    <row r="44" spans="1:14" ht="11.25">
      <c r="A44" s="99"/>
      <c r="B44" s="100" t="s">
        <v>566</v>
      </c>
      <c r="C44" s="101"/>
      <c r="D44" s="422">
        <f>D34+D40</f>
        <v>12415718.82</v>
      </c>
      <c r="E44" s="329"/>
      <c r="F44" s="102">
        <f>F31+F32+F36+F37</f>
        <v>0</v>
      </c>
      <c r="G44" s="102">
        <f>G31+G32+G36+G37+G38</f>
        <v>0</v>
      </c>
      <c r="H44" s="102">
        <f>D44+F44-G44</f>
        <v>12415718.82</v>
      </c>
      <c r="I44" s="317">
        <v>10802600</v>
      </c>
      <c r="J44" s="317">
        <f>J34+J40</f>
        <v>16501571.89</v>
      </c>
      <c r="K44" s="295">
        <f>(H44-J44)/1000</f>
        <v>-4085.85307</v>
      </c>
      <c r="L44" s="522">
        <f>K44/J44*1000</f>
        <v>-0.24760387054254138</v>
      </c>
      <c r="M44" s="295">
        <f>(H44-I44)/1000</f>
        <v>1613.1188200000004</v>
      </c>
      <c r="N44" s="1024">
        <f>M44/I44*1000</f>
        <v>0.1493269046340696</v>
      </c>
    </row>
    <row r="45" spans="1:13" ht="11.25">
      <c r="A45" s="103"/>
      <c r="B45" s="104"/>
      <c r="C45" s="104"/>
      <c r="D45" s="542"/>
      <c r="J45" s="1201" t="s">
        <v>1140</v>
      </c>
      <c r="M45" s="55"/>
    </row>
    <row r="46" spans="1:13" ht="11.25">
      <c r="A46" s="1" t="s">
        <v>1141</v>
      </c>
      <c r="D46" s="542"/>
      <c r="M46" s="55"/>
    </row>
    <row r="47" spans="1:13" ht="11.25">
      <c r="A47" s="1" t="s">
        <v>167</v>
      </c>
      <c r="D47" s="542"/>
      <c r="M47" s="55"/>
    </row>
    <row r="51" spans="3:4" ht="11.25">
      <c r="C51" s="1" t="s">
        <v>993</v>
      </c>
      <c r="D51" s="647"/>
    </row>
    <row r="52" spans="3:4" ht="11.25">
      <c r="C52" s="335" t="s">
        <v>976</v>
      </c>
      <c r="D52" s="647" t="s">
        <v>994</v>
      </c>
    </row>
    <row r="53" spans="3:4" ht="11.25">
      <c r="C53" s="335" t="s">
        <v>977</v>
      </c>
      <c r="D53" s="941" t="s">
        <v>978</v>
      </c>
    </row>
    <row r="54" spans="3:4" ht="11.25">
      <c r="C54" s="335"/>
      <c r="D54" s="941" t="s">
        <v>977</v>
      </c>
    </row>
    <row r="55" spans="3:4" ht="11.25">
      <c r="C55" s="335"/>
      <c r="D55" s="941"/>
    </row>
    <row r="56" spans="3:4" ht="11.25">
      <c r="C56" s="335"/>
      <c r="D56" s="941"/>
    </row>
    <row r="57" spans="1:4" ht="11.25">
      <c r="A57" s="50">
        <v>7392</v>
      </c>
      <c r="B57" s="51" t="s">
        <v>979</v>
      </c>
      <c r="C57" s="939">
        <v>52158</v>
      </c>
      <c r="D57" s="938" t="s">
        <v>1000</v>
      </c>
    </row>
    <row r="59" ht="11.25">
      <c r="A59" s="940" t="s">
        <v>990</v>
      </c>
    </row>
    <row r="60" spans="1:3" ht="11.25">
      <c r="A60" s="50" t="s">
        <v>991</v>
      </c>
      <c r="B60" s="51">
        <v>71.1575</v>
      </c>
      <c r="C60" s="141">
        <f>C57*B60</f>
        <v>3711432.885</v>
      </c>
    </row>
    <row r="61" spans="1:2" ht="11.25">
      <c r="A61" s="50" t="s">
        <v>992</v>
      </c>
      <c r="B61" s="51">
        <v>70.5164</v>
      </c>
    </row>
  </sheetData>
  <mergeCells count="6">
    <mergeCell ref="K4:L4"/>
    <mergeCell ref="M4:N4"/>
    <mergeCell ref="E2:G2"/>
    <mergeCell ref="E3:G3"/>
    <mergeCell ref="K2:N2"/>
    <mergeCell ref="K3:N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pane xSplit="3" ySplit="5" topLeftCell="D6" activePane="bottomRight" state="frozen"/>
      <selection pane="topLeft" activeCell="G30" sqref="G30"/>
      <selection pane="topRight" activeCell="G30" sqref="G30"/>
      <selection pane="bottomLeft" activeCell="G30" sqref="G30"/>
      <selection pane="bottomRight" activeCell="G30" sqref="G30"/>
    </sheetView>
  </sheetViews>
  <sheetFormatPr defaultColWidth="9.140625" defaultRowHeight="21.75"/>
  <cols>
    <col min="1" max="1" width="10.421875" style="50" customWidth="1"/>
    <col min="2" max="2" width="26.7109375" style="51" bestFit="1" customWidth="1"/>
    <col min="3" max="3" width="3.57421875" style="51" bestFit="1" customWidth="1"/>
    <col min="4" max="4" width="11.140625" style="626" bestFit="1" customWidth="1"/>
    <col min="5" max="5" width="7.140625" style="54" bestFit="1" customWidth="1"/>
    <col min="6" max="7" width="8.7109375" style="54" customWidth="1"/>
    <col min="8" max="8" width="11.140625" style="54" bestFit="1" customWidth="1"/>
    <col min="9" max="10" width="11.140625" style="61" bestFit="1" customWidth="1"/>
    <col min="11" max="11" width="8.421875" style="54" customWidth="1"/>
    <col min="12" max="12" width="7.421875" style="62" customWidth="1"/>
    <col min="13" max="13" width="8.421875" style="51" customWidth="1"/>
    <col min="14" max="14" width="7.140625" style="51" customWidth="1"/>
    <col min="15" max="16384" width="9.140625" style="51" customWidth="1"/>
  </cols>
  <sheetData>
    <row r="1" spans="1:3" ht="11.25">
      <c r="A1" s="744" t="s">
        <v>485</v>
      </c>
      <c r="B1" s="60"/>
      <c r="C1" s="60"/>
    </row>
    <row r="2" spans="1:14" ht="11.25">
      <c r="A2" s="63"/>
      <c r="B2" s="64"/>
      <c r="C2" s="63"/>
      <c r="D2" s="1056" t="str">
        <f>'3600'!D2</f>
        <v>Quarter 1'08</v>
      </c>
      <c r="E2" s="1686" t="s">
        <v>486</v>
      </c>
      <c r="F2" s="1699"/>
      <c r="G2" s="1700"/>
      <c r="H2" s="1055" t="str">
        <f>'3600'!H2</f>
        <v>Quarter 1'08</v>
      </c>
      <c r="I2" s="129" t="s">
        <v>818</v>
      </c>
      <c r="J2" s="129" t="s">
        <v>954</v>
      </c>
      <c r="K2" s="1690" t="s">
        <v>487</v>
      </c>
      <c r="L2" s="1691"/>
      <c r="M2" s="1686" t="s">
        <v>487</v>
      </c>
      <c r="N2" s="1687"/>
    </row>
    <row r="3" spans="1:14" ht="11.25">
      <c r="A3" s="67" t="s">
        <v>488</v>
      </c>
      <c r="B3" s="68"/>
      <c r="C3" s="67"/>
      <c r="D3" s="1056">
        <f>'3600'!D3</f>
        <v>39538</v>
      </c>
      <c r="E3" s="1688" t="s">
        <v>489</v>
      </c>
      <c r="F3" s="1701"/>
      <c r="G3" s="1702"/>
      <c r="H3" s="1056">
        <f>D3</f>
        <v>39538</v>
      </c>
      <c r="I3" s="130">
        <v>39172</v>
      </c>
      <c r="J3" s="130">
        <f>'3600'!J3</f>
        <v>39447</v>
      </c>
      <c r="K3" s="1692" t="s">
        <v>490</v>
      </c>
      <c r="L3" s="1693"/>
      <c r="M3" s="1707" t="s">
        <v>1117</v>
      </c>
      <c r="N3" s="1709"/>
    </row>
    <row r="4" spans="1:14" ht="11.25">
      <c r="A4" s="73" t="s">
        <v>491</v>
      </c>
      <c r="B4" s="74" t="s">
        <v>492</v>
      </c>
      <c r="C4" s="73" t="s">
        <v>493</v>
      </c>
      <c r="D4" s="1059" t="s">
        <v>869</v>
      </c>
      <c r="E4" s="75" t="s">
        <v>494</v>
      </c>
      <c r="F4" s="76" t="s">
        <v>495</v>
      </c>
      <c r="G4" s="77" t="s">
        <v>496</v>
      </c>
      <c r="H4" s="1059" t="s">
        <v>869</v>
      </c>
      <c r="I4" s="131" t="s">
        <v>869</v>
      </c>
      <c r="J4" s="131" t="s">
        <v>885</v>
      </c>
      <c r="K4" s="1694" t="str">
        <f>'3600'!K4:L4</f>
        <v>compare to YE'07</v>
      </c>
      <c r="L4" s="1695"/>
      <c r="M4" s="1688" t="str">
        <f>'3600'!M4:N4</f>
        <v>From Q1'07</v>
      </c>
      <c r="N4" s="1689"/>
    </row>
    <row r="5" spans="1:14" ht="11.25">
      <c r="A5" s="81"/>
      <c r="B5" s="82"/>
      <c r="C5" s="82"/>
      <c r="D5" s="1060" t="s">
        <v>497</v>
      </c>
      <c r="E5" s="83" t="s">
        <v>498</v>
      </c>
      <c r="F5" s="77" t="s">
        <v>497</v>
      </c>
      <c r="G5" s="77" t="s">
        <v>497</v>
      </c>
      <c r="H5" s="1060" t="s">
        <v>497</v>
      </c>
      <c r="I5" s="84" t="s">
        <v>497</v>
      </c>
      <c r="J5" s="84" t="s">
        <v>497</v>
      </c>
      <c r="K5" s="77" t="s">
        <v>499</v>
      </c>
      <c r="L5" s="80" t="s">
        <v>500</v>
      </c>
      <c r="M5" s="72" t="s">
        <v>499</v>
      </c>
      <c r="N5" s="72" t="s">
        <v>500</v>
      </c>
    </row>
    <row r="6" spans="1:14" ht="11.25">
      <c r="A6" s="9"/>
      <c r="B6" s="20"/>
      <c r="C6" s="87"/>
      <c r="D6" s="627"/>
      <c r="E6" s="88"/>
      <c r="F6" s="89"/>
      <c r="G6" s="89"/>
      <c r="H6" s="306"/>
      <c r="I6" s="90"/>
      <c r="J6" s="90"/>
      <c r="K6" s="15"/>
      <c r="L6" s="16"/>
      <c r="M6" s="349"/>
      <c r="N6" s="234"/>
    </row>
    <row r="7" spans="1:14" ht="11.25">
      <c r="A7" s="22"/>
      <c r="B7" s="86"/>
      <c r="C7" s="91"/>
      <c r="D7" s="627"/>
      <c r="E7" s="88"/>
      <c r="F7" s="89"/>
      <c r="G7" s="89"/>
      <c r="H7" s="306"/>
      <c r="I7" s="90"/>
      <c r="J7" s="90"/>
      <c r="K7" s="44"/>
      <c r="L7" s="112"/>
      <c r="M7" s="350"/>
      <c r="N7" s="235"/>
    </row>
    <row r="8" spans="1:14" ht="11.25">
      <c r="A8" s="98"/>
      <c r="B8" s="86"/>
      <c r="C8" s="91"/>
      <c r="D8" s="627"/>
      <c r="E8" s="88"/>
      <c r="F8" s="89"/>
      <c r="G8" s="89"/>
      <c r="H8" s="306"/>
      <c r="I8" s="90"/>
      <c r="J8" s="90"/>
      <c r="K8" s="44"/>
      <c r="L8" s="112"/>
      <c r="M8" s="350"/>
      <c r="N8" s="235"/>
    </row>
    <row r="9" spans="1:14" ht="11.25">
      <c r="A9" s="28"/>
      <c r="B9" s="106" t="s">
        <v>568</v>
      </c>
      <c r="C9" s="91"/>
      <c r="D9" s="420"/>
      <c r="E9" s="199"/>
      <c r="F9" s="36"/>
      <c r="G9" s="36"/>
      <c r="H9" s="1061"/>
      <c r="I9" s="970"/>
      <c r="J9" s="970"/>
      <c r="K9" s="200"/>
      <c r="L9" s="200"/>
      <c r="M9" s="350"/>
      <c r="N9" s="235"/>
    </row>
    <row r="10" spans="1:14" ht="11.25">
      <c r="A10" s="901">
        <v>115100</v>
      </c>
      <c r="B10" s="109" t="s">
        <v>569</v>
      </c>
      <c r="C10" s="91"/>
      <c r="D10" s="1074">
        <f>VLOOKUP(A10,TB!$A:$E,5,FALSE)</f>
        <v>0</v>
      </c>
      <c r="E10" s="199"/>
      <c r="F10" s="36"/>
      <c r="G10" s="36"/>
      <c r="H10" s="1061">
        <f>D10+F10-G10</f>
        <v>0</v>
      </c>
      <c r="I10" s="971">
        <v>0</v>
      </c>
      <c r="J10" s="971">
        <v>0</v>
      </c>
      <c r="K10" s="200">
        <f>IF(H10&lt;&gt;0,(H10-J10)/1000,IF(J10&lt;&gt;0,(H10-J10)/1000,""))</f>
      </c>
      <c r="L10" s="200">
        <f>IF(H10&lt;&gt;0,IF(J10=0,1,+K10/J10*100),IF(J10&lt;&gt;0,+K10/J10*100,""))</f>
      </c>
      <c r="M10" s="350"/>
      <c r="N10" s="235"/>
    </row>
    <row r="11" spans="1:14" ht="11.25" customHeight="1">
      <c r="A11" s="901">
        <v>115120</v>
      </c>
      <c r="B11" s="109" t="s">
        <v>570</v>
      </c>
      <c r="C11" s="91"/>
      <c r="D11" s="1074">
        <f>VLOOKUP(A11,TB!$A:$E,5,FALSE)</f>
        <v>1429082.65</v>
      </c>
      <c r="E11" s="199"/>
      <c r="F11" s="36"/>
      <c r="G11" s="36"/>
      <c r="H11" s="1061">
        <f>D11+F11-G11</f>
        <v>1429082.65</v>
      </c>
      <c r="I11" s="971">
        <v>1368132.35</v>
      </c>
      <c r="J11" s="971">
        <v>1429082.65</v>
      </c>
      <c r="K11" s="347">
        <f>(H11-J11)/1000</f>
        <v>0</v>
      </c>
      <c r="L11" s="786">
        <f>K11/J11*1000</f>
        <v>0</v>
      </c>
      <c r="M11" s="655">
        <f>(H11-I11)/1000</f>
        <v>60.950299999999814</v>
      </c>
      <c r="N11" s="1013">
        <f>M11/I11*1000</f>
        <v>0.04455000278299085</v>
      </c>
    </row>
    <row r="12" spans="1:14" ht="11.25">
      <c r="A12" s="28"/>
      <c r="B12" s="109"/>
      <c r="C12" s="91"/>
      <c r="D12" s="420"/>
      <c r="E12" s="199"/>
      <c r="F12" s="36"/>
      <c r="G12" s="36"/>
      <c r="H12" s="1061"/>
      <c r="I12" s="971"/>
      <c r="J12" s="971"/>
      <c r="K12" s="200">
        <f>IF(H12&lt;&gt;0,(H12-J12)/1000,IF(J12&lt;&gt;0,(H12-J12)/1000,""))</f>
      </c>
      <c r="L12" s="200">
        <f>IF(H12&lt;&gt;0,IF(J12=0,1,+K12/J12*100),IF(J12&lt;&gt;0,+K12/J12*100,""))</f>
      </c>
      <c r="M12" s="350"/>
      <c r="N12" s="235"/>
    </row>
    <row r="13" spans="1:14" ht="11.25">
      <c r="A13" s="22"/>
      <c r="B13" s="109"/>
      <c r="C13" s="91"/>
      <c r="D13" s="637"/>
      <c r="E13" s="199"/>
      <c r="F13" s="36"/>
      <c r="G13" s="36"/>
      <c r="H13" s="1061"/>
      <c r="I13" s="972"/>
      <c r="J13" s="972"/>
      <c r="K13" s="200">
        <f>IF(H13&lt;&gt;0,(H13-J13)/1000,IF(J13&lt;&gt;0,(H13-J13)/1000,""))</f>
      </c>
      <c r="L13" s="200">
        <f>IF(H13&lt;&gt;0,IF(J13=0,1,+K13/J13*100),IF(J13&lt;&gt;0,+K13/J13*100,""))</f>
      </c>
      <c r="M13" s="350"/>
      <c r="N13" s="235"/>
    </row>
    <row r="14" spans="1:14" ht="11.25">
      <c r="A14" s="22"/>
      <c r="B14" s="109"/>
      <c r="C14" s="91"/>
      <c r="D14" s="420"/>
      <c r="E14" s="199"/>
      <c r="F14" s="36"/>
      <c r="G14" s="36"/>
      <c r="H14" s="1061"/>
      <c r="I14" s="971"/>
      <c r="J14" s="971"/>
      <c r="K14" s="200">
        <f>IF(H14&lt;&gt;0,(H14-J14)/1000,IF(J14&lt;&gt;0,(H14-J14)/1000,""))</f>
      </c>
      <c r="L14" s="200">
        <f>IF(H14&lt;&gt;0,IF(J14=0,1,+K14/J14*100),IF(J14&lt;&gt;0,+K14/J14*100,""))</f>
      </c>
      <c r="M14" s="350"/>
      <c r="N14" s="235"/>
    </row>
    <row r="15" spans="1:14" ht="11.25">
      <c r="A15" s="22"/>
      <c r="B15" s="86"/>
      <c r="C15" s="91"/>
      <c r="D15" s="420"/>
      <c r="E15" s="199"/>
      <c r="F15" s="36"/>
      <c r="G15" s="36"/>
      <c r="H15" s="1061"/>
      <c r="I15" s="970"/>
      <c r="J15" s="970"/>
      <c r="K15" s="200">
        <f>IF(H15&lt;&gt;0,(H15-J15)/1000,IF(J15&lt;&gt;0,(H15-J15)/1000,""))</f>
      </c>
      <c r="L15" s="200">
        <f>IF(H15&lt;&gt;0,IF(J15=0,1,+K15/J15*100),IF(J15&lt;&gt;0,+K15/J15*100,""))</f>
      </c>
      <c r="M15" s="350"/>
      <c r="N15" s="235"/>
    </row>
    <row r="16" spans="1:14" ht="11.25">
      <c r="A16" s="99"/>
      <c r="B16" s="100" t="s">
        <v>573</v>
      </c>
      <c r="C16" s="101"/>
      <c r="D16" s="638">
        <f>SUM(D6:D15)</f>
        <v>1429082.65</v>
      </c>
      <c r="E16" s="202"/>
      <c r="F16" s="201">
        <f>SUM(F6:F15)</f>
        <v>0</v>
      </c>
      <c r="G16" s="201">
        <f>SUM(G6:G15)</f>
        <v>0</v>
      </c>
      <c r="H16" s="301">
        <f>SUM(H6:H15)</f>
        <v>1429082.65</v>
      </c>
      <c r="I16" s="973">
        <v>1368132.35</v>
      </c>
      <c r="J16" s="973">
        <f>SUM(J6:J15)</f>
        <v>1429082.65</v>
      </c>
      <c r="K16" s="295">
        <f>(H16-J16)/1000</f>
        <v>0</v>
      </c>
      <c r="L16" s="522">
        <f>K16/J16*1000</f>
        <v>0</v>
      </c>
      <c r="M16" s="749">
        <f>(H16-I16)/1000</f>
        <v>60.950299999999814</v>
      </c>
      <c r="N16" s="1024">
        <f>M16/I16*1000</f>
        <v>0.04455000278299085</v>
      </c>
    </row>
    <row r="17" spans="1:10" ht="11.25">
      <c r="A17" s="103"/>
      <c r="B17" s="104"/>
      <c r="C17" s="104"/>
      <c r="J17" s="1201" t="s">
        <v>1140</v>
      </c>
    </row>
    <row r="18" ht="11.25">
      <c r="A18" s="1" t="s">
        <v>1141</v>
      </c>
    </row>
    <row r="19" ht="11.25">
      <c r="A19" s="1" t="s">
        <v>167</v>
      </c>
    </row>
  </sheetData>
  <mergeCells count="8">
    <mergeCell ref="E2:G2"/>
    <mergeCell ref="K2:L2"/>
    <mergeCell ref="E3:G3"/>
    <mergeCell ref="K3:L3"/>
    <mergeCell ref="M2:N2"/>
    <mergeCell ref="M3:N3"/>
    <mergeCell ref="M4:N4"/>
    <mergeCell ref="K4:L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737"/>
  <sheetViews>
    <sheetView workbookViewId="0" topLeftCell="A1">
      <pane xSplit="1" ySplit="9" topLeftCell="H10" activePane="bottomRight" state="frozen"/>
      <selection pane="topLeft" activeCell="G30" sqref="G30"/>
      <selection pane="topRight" activeCell="G30" sqref="G30"/>
      <selection pane="bottomLeft" activeCell="G30" sqref="G30"/>
      <selection pane="bottomRight" activeCell="G30" sqref="G30"/>
    </sheetView>
  </sheetViews>
  <sheetFormatPr defaultColWidth="9.140625" defaultRowHeight="21.75"/>
  <cols>
    <col min="1" max="1" width="25.7109375" style="198" customWidth="1"/>
    <col min="2" max="2" width="12.28125" style="198" customWidth="1"/>
    <col min="3" max="3" width="14.140625" style="198" customWidth="1"/>
    <col min="4" max="4" width="13.28125" style="198" customWidth="1"/>
    <col min="5" max="5" width="14.28125" style="198" customWidth="1"/>
    <col min="6" max="6" width="20.140625" style="198" customWidth="1"/>
    <col min="7" max="7" width="12.8515625" style="198" bestFit="1" customWidth="1"/>
    <col min="8" max="8" width="16.00390625" style="198" bestFit="1" customWidth="1"/>
    <col min="9" max="9" width="16.00390625" style="198" customWidth="1"/>
    <col min="10" max="10" width="14.140625" style="197" bestFit="1" customWidth="1"/>
    <col min="11" max="11" width="14.57421875" style="198" customWidth="1"/>
    <col min="12" max="12" width="12.421875" style="198" bestFit="1" customWidth="1"/>
    <col min="13" max="14" width="12.00390625" style="198" bestFit="1" customWidth="1"/>
    <col min="15" max="15" width="4.7109375" style="198" customWidth="1"/>
    <col min="16" max="16384" width="9.140625" style="198" customWidth="1"/>
  </cols>
  <sheetData>
    <row r="1" spans="1:10" s="194" customFormat="1" ht="19.5">
      <c r="A1" s="1307" t="s">
        <v>919</v>
      </c>
      <c r="J1" s="195"/>
    </row>
    <row r="2" spans="1:10" s="1310" customFormat="1" ht="10.5">
      <c r="A2" s="1308" t="s">
        <v>920</v>
      </c>
      <c r="B2" s="1309"/>
      <c r="J2" s="1309"/>
    </row>
    <row r="3" spans="1:11" s="1310" customFormat="1" ht="10.5">
      <c r="A3" s="1308" t="s">
        <v>921</v>
      </c>
      <c r="B3" s="1311"/>
      <c r="C3" s="1311"/>
      <c r="D3" s="1311"/>
      <c r="E3" s="1312"/>
      <c r="F3" s="1311"/>
      <c r="G3" s="1311"/>
      <c r="H3" s="1311"/>
      <c r="I3" s="1311"/>
      <c r="J3" s="1311"/>
      <c r="K3" s="1311"/>
    </row>
    <row r="4" spans="1:10" s="1310" customFormat="1" ht="10.5">
      <c r="A4" s="1313"/>
      <c r="B4" s="1314" t="s">
        <v>940</v>
      </c>
      <c r="C4" s="1314" t="s">
        <v>951</v>
      </c>
      <c r="D4" s="1314" t="s">
        <v>1008</v>
      </c>
      <c r="E4" s="1314" t="s">
        <v>1009</v>
      </c>
      <c r="F4" s="1314" t="s">
        <v>1010</v>
      </c>
      <c r="G4" s="1314" t="s">
        <v>1011</v>
      </c>
      <c r="H4" s="1314" t="s">
        <v>1012</v>
      </c>
      <c r="I4" s="1314"/>
      <c r="J4" s="1315" t="s">
        <v>1013</v>
      </c>
    </row>
    <row r="5" spans="2:10" s="1310" customFormat="1" ht="10.5">
      <c r="B5" s="1316"/>
      <c r="C5" s="1317" t="s">
        <v>887</v>
      </c>
      <c r="D5" s="1316"/>
      <c r="E5" s="1316" t="s">
        <v>888</v>
      </c>
      <c r="F5" s="1316"/>
      <c r="G5" s="1316"/>
      <c r="H5" s="1316"/>
      <c r="I5" s="1316"/>
      <c r="J5" s="1318"/>
    </row>
    <row r="6" spans="2:10" s="1310" customFormat="1" ht="10.5">
      <c r="B6" s="1316">
        <v>160110</v>
      </c>
      <c r="C6" s="1317" t="s">
        <v>889</v>
      </c>
      <c r="D6" s="1316" t="s">
        <v>890</v>
      </c>
      <c r="E6" s="1317" t="s">
        <v>891</v>
      </c>
      <c r="F6" s="1316" t="s">
        <v>892</v>
      </c>
      <c r="G6" s="1316" t="s">
        <v>893</v>
      </c>
      <c r="H6" s="1316" t="s">
        <v>1187</v>
      </c>
      <c r="I6" s="1316"/>
      <c r="J6" s="1316">
        <v>172121</v>
      </c>
    </row>
    <row r="7" spans="1:11" s="1310" customFormat="1" ht="10.5">
      <c r="A7" s="1319"/>
      <c r="B7" s="1320"/>
      <c r="C7" s="1321" t="s">
        <v>574</v>
      </c>
      <c r="D7" s="1321"/>
      <c r="E7" s="1321" t="s">
        <v>575</v>
      </c>
      <c r="F7" s="1322" t="s">
        <v>576</v>
      </c>
      <c r="G7" s="1322"/>
      <c r="H7" s="1322" t="s">
        <v>577</v>
      </c>
      <c r="I7" s="1322" t="s">
        <v>587</v>
      </c>
      <c r="J7" s="1322" t="s">
        <v>930</v>
      </c>
      <c r="K7" s="1322" t="s">
        <v>927</v>
      </c>
    </row>
    <row r="8" spans="1:11" s="1310" customFormat="1" ht="10.5">
      <c r="A8" s="1323"/>
      <c r="B8" s="1321" t="s">
        <v>578</v>
      </c>
      <c r="C8" s="1321" t="s">
        <v>582</v>
      </c>
      <c r="D8" s="1321" t="s">
        <v>574</v>
      </c>
      <c r="E8" s="1321" t="s">
        <v>583</v>
      </c>
      <c r="F8" s="1322" t="s">
        <v>584</v>
      </c>
      <c r="G8" s="1322" t="s">
        <v>585</v>
      </c>
      <c r="H8" s="1322" t="s">
        <v>586</v>
      </c>
      <c r="I8" s="1322"/>
      <c r="J8" s="1322" t="s">
        <v>1129</v>
      </c>
      <c r="K8" s="1321" t="s">
        <v>587</v>
      </c>
    </row>
    <row r="9" spans="1:11" s="1310" customFormat="1" ht="10.5">
      <c r="A9" s="1323"/>
      <c r="B9" s="1321" t="s">
        <v>497</v>
      </c>
      <c r="C9" s="1321" t="s">
        <v>497</v>
      </c>
      <c r="D9" s="1321" t="s">
        <v>497</v>
      </c>
      <c r="E9" s="1321" t="s">
        <v>497</v>
      </c>
      <c r="F9" s="1321" t="s">
        <v>497</v>
      </c>
      <c r="G9" s="1321" t="s">
        <v>497</v>
      </c>
      <c r="H9" s="1321" t="s">
        <v>497</v>
      </c>
      <c r="I9" s="1321" t="s">
        <v>497</v>
      </c>
      <c r="J9" s="1321" t="s">
        <v>497</v>
      </c>
      <c r="K9" s="1321" t="s">
        <v>497</v>
      </c>
    </row>
    <row r="10" spans="1:11" s="1310" customFormat="1" ht="10.5">
      <c r="A10" s="1324" t="s">
        <v>588</v>
      </c>
      <c r="B10" s="1323"/>
      <c r="C10" s="1323"/>
      <c r="D10" s="1325"/>
      <c r="E10" s="1326"/>
      <c r="F10" s="1327"/>
      <c r="G10" s="1325"/>
      <c r="H10" s="1325"/>
      <c r="I10" s="1325"/>
      <c r="J10" s="1328"/>
      <c r="K10" s="1325"/>
    </row>
    <row r="11" spans="1:11" s="1310" customFormat="1" ht="10.5">
      <c r="A11" s="1329" t="s">
        <v>1188</v>
      </c>
      <c r="B11" s="1323"/>
      <c r="C11" s="1323"/>
      <c r="D11" s="1325"/>
      <c r="E11" s="1326"/>
      <c r="F11" s="1327"/>
      <c r="G11" s="1325"/>
      <c r="H11" s="1325"/>
      <c r="I11" s="1325"/>
      <c r="J11" s="1328"/>
      <c r="K11" s="1325"/>
    </row>
    <row r="12" spans="1:11" s="1310" customFormat="1" ht="10.5">
      <c r="A12" s="1330" t="s">
        <v>1189</v>
      </c>
      <c r="B12" s="1331">
        <v>52505398</v>
      </c>
      <c r="C12" s="1331">
        <v>73109637.95</v>
      </c>
      <c r="D12" s="1332">
        <v>63958408.74</v>
      </c>
      <c r="E12" s="1332">
        <v>381182246.02</v>
      </c>
      <c r="F12" s="1333">
        <v>30019366.3</v>
      </c>
      <c r="G12" s="1333">
        <v>10060768.83</v>
      </c>
      <c r="H12" s="1333">
        <v>20067196.68</v>
      </c>
      <c r="I12" s="1333">
        <f aca="true" t="shared" si="0" ref="I12:I19">SUM(B12:H12)</f>
        <v>630903022.52</v>
      </c>
      <c r="J12" s="1333">
        <v>10264265</v>
      </c>
      <c r="K12" s="1332">
        <f aca="true" t="shared" si="1" ref="K12:K20">SUM(I12:J12)</f>
        <v>641167287.52</v>
      </c>
    </row>
    <row r="13" spans="1:13" s="1310" customFormat="1" ht="10.5">
      <c r="A13" s="1330" t="s">
        <v>589</v>
      </c>
      <c r="B13" s="1331">
        <v>0</v>
      </c>
      <c r="C13" s="1331">
        <v>15000</v>
      </c>
      <c r="D13" s="1331">
        <v>0</v>
      </c>
      <c r="E13" s="1333">
        <f>5603180.68-E16</f>
        <v>81429.25</v>
      </c>
      <c r="F13" s="1333">
        <v>113630.05</v>
      </c>
      <c r="G13" s="1331">
        <v>0</v>
      </c>
      <c r="H13" s="1333">
        <v>2980173.49</v>
      </c>
      <c r="I13" s="1333">
        <f t="shared" si="0"/>
        <v>3190232.79</v>
      </c>
      <c r="J13" s="1331">
        <v>0</v>
      </c>
      <c r="K13" s="1332">
        <f t="shared" si="1"/>
        <v>3190232.79</v>
      </c>
      <c r="L13" s="1334" t="s">
        <v>589</v>
      </c>
      <c r="M13" s="1335">
        <f>K13</f>
        <v>3190232.79</v>
      </c>
    </row>
    <row r="14" spans="1:13" s="1310" customFormat="1" ht="10.5">
      <c r="A14" s="1330" t="s">
        <v>590</v>
      </c>
      <c r="B14" s="1331">
        <v>0</v>
      </c>
      <c r="C14" s="1331">
        <v>0</v>
      </c>
      <c r="D14" s="1331">
        <v>0</v>
      </c>
      <c r="E14" s="1333">
        <v>-2520</v>
      </c>
      <c r="F14" s="1333">
        <v>-93444.86</v>
      </c>
      <c r="G14" s="1331">
        <v>0</v>
      </c>
      <c r="H14" s="1332">
        <v>0</v>
      </c>
      <c r="I14" s="1333">
        <f t="shared" si="0"/>
        <v>-95964.86</v>
      </c>
      <c r="J14" s="1331">
        <v>0</v>
      </c>
      <c r="K14" s="1332">
        <f t="shared" si="1"/>
        <v>-95964.86</v>
      </c>
      <c r="L14" s="1336" t="s">
        <v>1130</v>
      </c>
      <c r="M14" s="1337">
        <f>-K14+K51</f>
        <v>8046.770000000004</v>
      </c>
    </row>
    <row r="15" spans="1:13" s="1310" customFormat="1" ht="10.5">
      <c r="A15" s="1330" t="s">
        <v>925</v>
      </c>
      <c r="B15" s="1331">
        <v>0</v>
      </c>
      <c r="C15" s="1331">
        <v>0</v>
      </c>
      <c r="D15" s="1331">
        <v>0</v>
      </c>
      <c r="E15" s="1338">
        <v>0</v>
      </c>
      <c r="F15" s="1333">
        <v>-7943.93</v>
      </c>
      <c r="G15" s="1331">
        <v>0</v>
      </c>
      <c r="H15" s="1331">
        <v>0</v>
      </c>
      <c r="I15" s="1333">
        <f t="shared" si="0"/>
        <v>-7943.93</v>
      </c>
      <c r="J15" s="1331">
        <v>0</v>
      </c>
      <c r="K15" s="1332">
        <f t="shared" si="1"/>
        <v>-7943.93</v>
      </c>
      <c r="L15" s="1339" t="s">
        <v>1131</v>
      </c>
      <c r="M15" s="1340">
        <f>-K15+K52</f>
        <v>1</v>
      </c>
    </row>
    <row r="16" spans="1:11" s="1310" customFormat="1" ht="10.5">
      <c r="A16" s="1330" t="s">
        <v>591</v>
      </c>
      <c r="B16" s="1331">
        <v>0</v>
      </c>
      <c r="C16" s="1338">
        <v>122572</v>
      </c>
      <c r="D16" s="1331">
        <v>0</v>
      </c>
      <c r="E16" s="1333">
        <v>5521751.43</v>
      </c>
      <c r="F16" s="1333">
        <v>0</v>
      </c>
      <c r="G16" s="1331">
        <v>0</v>
      </c>
      <c r="H16" s="1332">
        <v>-5644323.43</v>
      </c>
      <c r="I16" s="1333">
        <f t="shared" si="0"/>
        <v>0</v>
      </c>
      <c r="J16" s="1331">
        <v>0</v>
      </c>
      <c r="K16" s="1332">
        <f t="shared" si="1"/>
        <v>0</v>
      </c>
    </row>
    <row r="17" spans="1:12" s="1310" customFormat="1" ht="10.5">
      <c r="A17" s="1330" t="s">
        <v>1019</v>
      </c>
      <c r="B17" s="1331">
        <v>0</v>
      </c>
      <c r="C17" s="1331">
        <v>0</v>
      </c>
      <c r="D17" s="1331">
        <v>0</v>
      </c>
      <c r="E17" s="1338">
        <v>0</v>
      </c>
      <c r="F17" s="1331">
        <v>-214</v>
      </c>
      <c r="G17" s="1331">
        <v>0</v>
      </c>
      <c r="H17" s="1341">
        <v>0</v>
      </c>
      <c r="I17" s="1333">
        <f t="shared" si="0"/>
        <v>-214</v>
      </c>
      <c r="J17" s="1331">
        <v>0</v>
      </c>
      <c r="K17" s="1332">
        <f t="shared" si="1"/>
        <v>-214</v>
      </c>
      <c r="L17" s="1311"/>
    </row>
    <row r="18" spans="1:11" s="1309" customFormat="1" ht="10.5">
      <c r="A18" s="1342" t="s">
        <v>1190</v>
      </c>
      <c r="B18" s="1343">
        <f aca="true" t="shared" si="2" ref="B18:H18">SUM(B12:B17)</f>
        <v>52505398</v>
      </c>
      <c r="C18" s="1343">
        <f t="shared" si="2"/>
        <v>73247209.95</v>
      </c>
      <c r="D18" s="1343">
        <f t="shared" si="2"/>
        <v>63958408.74</v>
      </c>
      <c r="E18" s="1343">
        <f t="shared" si="2"/>
        <v>386782906.7</v>
      </c>
      <c r="F18" s="1343">
        <f t="shared" si="2"/>
        <v>30031393.560000002</v>
      </c>
      <c r="G18" s="1343">
        <f t="shared" si="2"/>
        <v>10060768.83</v>
      </c>
      <c r="H18" s="1344">
        <f t="shared" si="2"/>
        <v>17403046.740000002</v>
      </c>
      <c r="I18" s="1345">
        <f t="shared" si="0"/>
        <v>633989132.5200001</v>
      </c>
      <c r="J18" s="1343">
        <f>SUM(J12:J17)</f>
        <v>10264265</v>
      </c>
      <c r="K18" s="1343">
        <f t="shared" si="1"/>
        <v>644253397.5200001</v>
      </c>
    </row>
    <row r="19" spans="1:14" s="1349" customFormat="1" ht="10.5">
      <c r="A19" s="1346" t="s">
        <v>1005</v>
      </c>
      <c r="B19" s="1347">
        <f>SUM('[18]TB'!$D$163:$D$164)</f>
        <v>52505398</v>
      </c>
      <c r="C19" s="1347">
        <f>SUM('[18]TB'!$D$172:$D$177)</f>
        <v>73247210.12</v>
      </c>
      <c r="D19" s="1347">
        <f>SUM('[18]TB'!$D$168:$D$171)</f>
        <v>63958407.74</v>
      </c>
      <c r="E19" s="1347">
        <f>SUM('[18]TB'!$D$179:$D$195,'[18]TB'!$D$200:$D$224)</f>
        <v>386782906.7</v>
      </c>
      <c r="F19" s="1347">
        <f>SUM('[18]TB'!$D$225:$D$248)</f>
        <v>30031393.56</v>
      </c>
      <c r="G19" s="1347">
        <f>SUM('[18]TB'!$D$196:$D$199)</f>
        <v>10060768.83</v>
      </c>
      <c r="H19" s="1347">
        <f>SUM('[18]TB'!$D$249:$D$263)</f>
        <v>17403046.6</v>
      </c>
      <c r="I19" s="1348">
        <f t="shared" si="0"/>
        <v>633989131.55</v>
      </c>
      <c r="J19" s="1347">
        <v>10264265</v>
      </c>
      <c r="K19" s="1347">
        <f t="shared" si="1"/>
        <v>644253396.55</v>
      </c>
      <c r="N19" s="1350"/>
    </row>
    <row r="20" spans="1:12" s="1352" customFormat="1" ht="10.5">
      <c r="A20" s="1346" t="s">
        <v>665</v>
      </c>
      <c r="B20" s="1351">
        <f aca="true" t="shared" si="3" ref="B20:J20">B18-B19</f>
        <v>0</v>
      </c>
      <c r="C20" s="1351">
        <f t="shared" si="3"/>
        <v>-0.17000000178813934</v>
      </c>
      <c r="D20" s="1351">
        <f t="shared" si="3"/>
        <v>1</v>
      </c>
      <c r="E20" s="1351">
        <f t="shared" si="3"/>
        <v>0</v>
      </c>
      <c r="F20" s="1351">
        <f t="shared" si="3"/>
        <v>0</v>
      </c>
      <c r="G20" s="1351">
        <f t="shared" si="3"/>
        <v>0</v>
      </c>
      <c r="H20" s="1351">
        <f t="shared" si="3"/>
        <v>0.14000000059604645</v>
      </c>
      <c r="I20" s="1351">
        <f t="shared" si="3"/>
        <v>0.970000147819519</v>
      </c>
      <c r="J20" s="1351">
        <f t="shared" si="3"/>
        <v>0</v>
      </c>
      <c r="K20" s="1347">
        <f t="shared" si="1"/>
        <v>0.970000147819519</v>
      </c>
      <c r="L20" s="1352" t="s">
        <v>1191</v>
      </c>
    </row>
    <row r="21" spans="1:11" s="1309" customFormat="1" ht="10.5" hidden="1">
      <c r="A21" s="1329" t="s">
        <v>1192</v>
      </c>
      <c r="B21" s="1338"/>
      <c r="C21" s="1338"/>
      <c r="D21" s="1338"/>
      <c r="E21" s="1338"/>
      <c r="F21" s="1338"/>
      <c r="G21" s="1338"/>
      <c r="H21" s="1338"/>
      <c r="I21" s="1338"/>
      <c r="J21" s="1338"/>
      <c r="K21" s="1338"/>
    </row>
    <row r="22" spans="1:13" s="1309" customFormat="1" ht="10.5" hidden="1">
      <c r="A22" s="1330" t="s">
        <v>589</v>
      </c>
      <c r="B22" s="1338"/>
      <c r="C22" s="1338"/>
      <c r="D22" s="1338"/>
      <c r="E22" s="1338"/>
      <c r="F22" s="1338"/>
      <c r="G22" s="1338"/>
      <c r="H22" s="1338"/>
      <c r="I22" s="1338"/>
      <c r="J22" s="1338"/>
      <c r="K22" s="1332">
        <f>SUM(B22:J22)</f>
        <v>0</v>
      </c>
      <c r="L22" s="1353"/>
      <c r="M22" s="1354"/>
    </row>
    <row r="23" spans="1:13" s="1309" customFormat="1" ht="10.5" hidden="1">
      <c r="A23" s="1330" t="s">
        <v>590</v>
      </c>
      <c r="B23" s="1338"/>
      <c r="C23" s="1338"/>
      <c r="D23" s="1338"/>
      <c r="E23" s="1338"/>
      <c r="F23" s="1338"/>
      <c r="G23" s="1338"/>
      <c r="H23" s="1338"/>
      <c r="I23" s="1338"/>
      <c r="J23" s="1338"/>
      <c r="K23" s="1332">
        <f>SUM(B23:J23)</f>
        <v>0</v>
      </c>
      <c r="L23" s="1355" t="s">
        <v>1130</v>
      </c>
      <c r="M23" s="1337">
        <f>-K23+K59</f>
        <v>0</v>
      </c>
    </row>
    <row r="24" spans="1:13" s="1309" customFormat="1" ht="10.5" hidden="1">
      <c r="A24" s="1330" t="s">
        <v>925</v>
      </c>
      <c r="B24" s="1338"/>
      <c r="C24" s="1338"/>
      <c r="D24" s="1338"/>
      <c r="E24" s="1338"/>
      <c r="F24" s="1338"/>
      <c r="G24" s="1338"/>
      <c r="H24" s="1338"/>
      <c r="I24" s="1338"/>
      <c r="J24" s="1338"/>
      <c r="K24" s="1332">
        <f>SUM(B24:J24)</f>
        <v>0</v>
      </c>
      <c r="L24" s="1356" t="s">
        <v>1131</v>
      </c>
      <c r="M24" s="1340">
        <f>-K24+K60</f>
        <v>0</v>
      </c>
    </row>
    <row r="25" spans="1:11" s="1309" customFormat="1" ht="10.5" hidden="1">
      <c r="A25" s="1330" t="s">
        <v>591</v>
      </c>
      <c r="B25" s="1338"/>
      <c r="C25" s="1338"/>
      <c r="D25" s="1338"/>
      <c r="E25" s="1338"/>
      <c r="F25" s="1338"/>
      <c r="G25" s="1338"/>
      <c r="H25" s="1338"/>
      <c r="I25" s="1338"/>
      <c r="J25" s="1338"/>
      <c r="K25" s="1332">
        <f>SUM(B25:J25)</f>
        <v>0</v>
      </c>
    </row>
    <row r="26" spans="1:12" s="1309" customFormat="1" ht="10.5" hidden="1">
      <c r="A26" s="1330" t="s">
        <v>1019</v>
      </c>
      <c r="B26" s="1338"/>
      <c r="C26" s="1338"/>
      <c r="D26" s="1338"/>
      <c r="E26" s="1338"/>
      <c r="F26" s="1338"/>
      <c r="G26" s="1338"/>
      <c r="H26" s="1357"/>
      <c r="I26" s="1357"/>
      <c r="J26" s="1338"/>
      <c r="K26" s="1332">
        <f>SUM(B26:J26)</f>
        <v>0</v>
      </c>
      <c r="L26" s="1358"/>
    </row>
    <row r="27" spans="1:13" s="1360" customFormat="1" ht="10.5" hidden="1">
      <c r="A27" s="1342" t="s">
        <v>1193</v>
      </c>
      <c r="B27" s="1343">
        <f aca="true" t="shared" si="4" ref="B27:H27">SUM(B18:B26)</f>
        <v>105010796</v>
      </c>
      <c r="C27" s="1343">
        <f t="shared" si="4"/>
        <v>146494419.89999998</v>
      </c>
      <c r="D27" s="1343">
        <f t="shared" si="4"/>
        <v>127916817.48</v>
      </c>
      <c r="E27" s="1343">
        <f t="shared" si="4"/>
        <v>773565813.4</v>
      </c>
      <c r="F27" s="1343">
        <f t="shared" si="4"/>
        <v>60062787.120000005</v>
      </c>
      <c r="G27" s="1343">
        <f t="shared" si="4"/>
        <v>20121537.66</v>
      </c>
      <c r="H27" s="1343">
        <f t="shared" si="4"/>
        <v>34806093.480000004</v>
      </c>
      <c r="I27" s="1343"/>
      <c r="J27" s="1343">
        <f>SUM(J18:J26)</f>
        <v>20528530</v>
      </c>
      <c r="K27" s="1343">
        <f>SUM(K18:K26)</f>
        <v>1288506795.0400004</v>
      </c>
      <c r="L27" s="1359"/>
      <c r="M27" s="1359"/>
    </row>
    <row r="28" spans="1:13" s="1360" customFormat="1" ht="10.5" hidden="1">
      <c r="A28" s="1342"/>
      <c r="B28" s="1343"/>
      <c r="C28" s="1343"/>
      <c r="D28" s="1343"/>
      <c r="E28" s="1343"/>
      <c r="F28" s="1343"/>
      <c r="G28" s="1343"/>
      <c r="H28" s="1343"/>
      <c r="I28" s="1343"/>
      <c r="J28" s="1343"/>
      <c r="K28" s="1343"/>
      <c r="M28" s="1359"/>
    </row>
    <row r="29" spans="1:13" s="1309" customFormat="1" ht="10.5" hidden="1">
      <c r="A29" s="1329" t="s">
        <v>1194</v>
      </c>
      <c r="B29" s="1338"/>
      <c r="C29" s="1338"/>
      <c r="D29" s="1338"/>
      <c r="E29" s="1338"/>
      <c r="F29" s="1338"/>
      <c r="G29" s="1338"/>
      <c r="H29" s="1338"/>
      <c r="I29" s="1338"/>
      <c r="J29" s="1338"/>
      <c r="K29" s="1338"/>
      <c r="M29" s="1353"/>
    </row>
    <row r="30" spans="1:13" s="1309" customFormat="1" ht="10.5" hidden="1">
      <c r="A30" s="1330" t="s">
        <v>589</v>
      </c>
      <c r="B30" s="1338"/>
      <c r="C30" s="1338"/>
      <c r="D30" s="1338"/>
      <c r="E30" s="1338"/>
      <c r="F30" s="1338"/>
      <c r="G30" s="1338"/>
      <c r="H30" s="1338"/>
      <c r="I30" s="1338"/>
      <c r="J30" s="1338"/>
      <c r="K30" s="1332">
        <f>SUM(B30:J30)</f>
        <v>0</v>
      </c>
      <c r="L30" s="1353"/>
      <c r="M30" s="1353"/>
    </row>
    <row r="31" spans="1:13" s="1309" customFormat="1" ht="10.5" hidden="1">
      <c r="A31" s="1330" t="s">
        <v>590</v>
      </c>
      <c r="B31" s="1338"/>
      <c r="C31" s="1338"/>
      <c r="D31" s="1338"/>
      <c r="E31" s="1338"/>
      <c r="F31" s="1338"/>
      <c r="G31" s="1338"/>
      <c r="H31" s="1338"/>
      <c r="I31" s="1338"/>
      <c r="J31" s="1338"/>
      <c r="K31" s="1338">
        <f>SUM(B31:J31)</f>
        <v>0</v>
      </c>
      <c r="L31" s="1355" t="s">
        <v>1130</v>
      </c>
      <c r="M31" s="1337">
        <f>-K31+K65</f>
        <v>0</v>
      </c>
    </row>
    <row r="32" spans="1:13" s="1309" customFormat="1" ht="10.5" hidden="1">
      <c r="A32" s="1330" t="s">
        <v>925</v>
      </c>
      <c r="B32" s="1338"/>
      <c r="C32" s="1338"/>
      <c r="D32" s="1338"/>
      <c r="E32" s="1338"/>
      <c r="F32" s="1338"/>
      <c r="G32" s="1338"/>
      <c r="H32" s="1338"/>
      <c r="I32" s="1338"/>
      <c r="J32" s="1338"/>
      <c r="K32" s="1338">
        <f>SUM(B32:J32)</f>
        <v>0</v>
      </c>
      <c r="L32" s="1356" t="s">
        <v>1131</v>
      </c>
      <c r="M32" s="1340">
        <f>-K32+K72</f>
        <v>0</v>
      </c>
    </row>
    <row r="33" spans="1:12" s="1309" customFormat="1" ht="12.75" customHeight="1" hidden="1">
      <c r="A33" s="1330" t="s">
        <v>591</v>
      </c>
      <c r="B33" s="1338"/>
      <c r="C33" s="1338"/>
      <c r="D33" s="1338"/>
      <c r="E33" s="1338"/>
      <c r="F33" s="1338"/>
      <c r="G33" s="1338"/>
      <c r="H33" s="1338"/>
      <c r="I33" s="1338"/>
      <c r="J33" s="1338"/>
      <c r="K33" s="1338">
        <f>SUM(B33:J33)</f>
        <v>0</v>
      </c>
      <c r="L33" s="1353"/>
    </row>
    <row r="34" spans="1:11" s="1360" customFormat="1" ht="10.5" hidden="1">
      <c r="A34" s="1342" t="s">
        <v>1195</v>
      </c>
      <c r="B34" s="1343">
        <f aca="true" t="shared" si="5" ref="B34:H34">SUM(B27:B33)</f>
        <v>105010796</v>
      </c>
      <c r="C34" s="1343">
        <f t="shared" si="5"/>
        <v>146494419.89999998</v>
      </c>
      <c r="D34" s="1343">
        <f t="shared" si="5"/>
        <v>127916817.48</v>
      </c>
      <c r="E34" s="1343">
        <f t="shared" si="5"/>
        <v>773565813.4</v>
      </c>
      <c r="F34" s="1343">
        <f t="shared" si="5"/>
        <v>60062787.120000005</v>
      </c>
      <c r="G34" s="1343">
        <f t="shared" si="5"/>
        <v>20121537.66</v>
      </c>
      <c r="H34" s="1343">
        <f t="shared" si="5"/>
        <v>34806093.480000004</v>
      </c>
      <c r="I34" s="1343"/>
      <c r="J34" s="1343">
        <f>SUM(J27:J33)</f>
        <v>20528530</v>
      </c>
      <c r="K34" s="1343">
        <f>SUM(K27:K33)</f>
        <v>1288506795.0400004</v>
      </c>
    </row>
    <row r="35" spans="1:11" s="1363" customFormat="1" ht="10.5" hidden="1">
      <c r="A35" s="1361"/>
      <c r="B35" s="1362"/>
      <c r="C35" s="1362"/>
      <c r="D35" s="1362"/>
      <c r="E35" s="1362"/>
      <c r="F35" s="1362"/>
      <c r="G35" s="1362"/>
      <c r="H35" s="1362"/>
      <c r="I35" s="1362"/>
      <c r="J35" s="1362"/>
      <c r="K35" s="1362"/>
    </row>
    <row r="36" spans="1:11" s="1309" customFormat="1" ht="10.5" hidden="1">
      <c r="A36" s="1329" t="s">
        <v>1196</v>
      </c>
      <c r="B36" s="1338"/>
      <c r="C36" s="1338"/>
      <c r="D36" s="1338"/>
      <c r="E36" s="1338"/>
      <c r="F36" s="1338"/>
      <c r="G36" s="1338"/>
      <c r="H36" s="1338"/>
      <c r="I36" s="1338"/>
      <c r="J36" s="1338"/>
      <c r="K36" s="1338"/>
    </row>
    <row r="37" spans="1:13" s="1309" customFormat="1" ht="10.5" hidden="1">
      <c r="A37" s="1330" t="s">
        <v>589</v>
      </c>
      <c r="B37" s="1338"/>
      <c r="C37" s="1338"/>
      <c r="D37" s="1338"/>
      <c r="E37" s="1338"/>
      <c r="F37" s="1338"/>
      <c r="G37" s="1338"/>
      <c r="H37" s="1338"/>
      <c r="I37" s="1338"/>
      <c r="J37" s="1338"/>
      <c r="K37" s="1338">
        <f aca="true" t="shared" si="6" ref="K37:K44">SUM(B37:J37)</f>
        <v>0</v>
      </c>
      <c r="L37" s="1353"/>
      <c r="M37" s="1353"/>
    </row>
    <row r="38" spans="1:13" s="1309" customFormat="1" ht="10.5" hidden="1">
      <c r="A38" s="1330" t="s">
        <v>590</v>
      </c>
      <c r="B38" s="1338"/>
      <c r="C38" s="1338"/>
      <c r="D38" s="1338"/>
      <c r="E38" s="1338"/>
      <c r="F38" s="1338"/>
      <c r="G38" s="1338"/>
      <c r="H38" s="1338"/>
      <c r="I38" s="1338"/>
      <c r="J38" s="1338"/>
      <c r="K38" s="1338">
        <f t="shared" si="6"/>
        <v>0</v>
      </c>
      <c r="L38" s="1355" t="s">
        <v>1130</v>
      </c>
      <c r="M38" s="1337">
        <f>-K38+K71</f>
        <v>0</v>
      </c>
    </row>
    <row r="39" spans="1:13" s="1309" customFormat="1" ht="10.5" hidden="1">
      <c r="A39" s="1330" t="s">
        <v>925</v>
      </c>
      <c r="B39" s="1338"/>
      <c r="C39" s="1338"/>
      <c r="D39" s="1338"/>
      <c r="E39" s="1338"/>
      <c r="F39" s="1338"/>
      <c r="G39" s="1338"/>
      <c r="H39" s="1338"/>
      <c r="I39" s="1338"/>
      <c r="J39" s="1338"/>
      <c r="K39" s="1338">
        <f t="shared" si="6"/>
        <v>0</v>
      </c>
      <c r="L39" s="1356" t="s">
        <v>1131</v>
      </c>
      <c r="M39" s="1340">
        <f>-K39+K77</f>
        <v>0</v>
      </c>
    </row>
    <row r="40" spans="1:11" s="1309" customFormat="1" ht="10.5" hidden="1">
      <c r="A40" s="1330" t="s">
        <v>591</v>
      </c>
      <c r="B40" s="1338"/>
      <c r="C40" s="1338"/>
      <c r="D40" s="1338"/>
      <c r="E40" s="1338"/>
      <c r="F40" s="1338"/>
      <c r="G40" s="1338"/>
      <c r="H40" s="1338"/>
      <c r="I40" s="1338"/>
      <c r="J40" s="1338"/>
      <c r="K40" s="1338">
        <f t="shared" si="6"/>
        <v>0</v>
      </c>
    </row>
    <row r="41" spans="1:11" s="1309" customFormat="1" ht="10.5" hidden="1">
      <c r="A41" s="1330" t="s">
        <v>1019</v>
      </c>
      <c r="B41" s="1338"/>
      <c r="C41" s="1338"/>
      <c r="D41" s="1338"/>
      <c r="E41" s="1338"/>
      <c r="F41" s="1338"/>
      <c r="G41" s="1338"/>
      <c r="H41" s="1338"/>
      <c r="I41" s="1338"/>
      <c r="J41" s="1338"/>
      <c r="K41" s="1338">
        <f t="shared" si="6"/>
        <v>0</v>
      </c>
    </row>
    <row r="42" spans="1:11" s="1309" customFormat="1" ht="10.5" hidden="1">
      <c r="A42" s="1330" t="s">
        <v>1197</v>
      </c>
      <c r="B42" s="1338"/>
      <c r="C42" s="1338"/>
      <c r="D42" s="1338"/>
      <c r="E42" s="1338"/>
      <c r="F42" s="1338"/>
      <c r="G42" s="1338"/>
      <c r="H42" s="1338"/>
      <c r="I42" s="1338"/>
      <c r="J42" s="1338"/>
      <c r="K42" s="1338">
        <f t="shared" si="6"/>
        <v>0</v>
      </c>
    </row>
    <row r="43" spans="1:11" s="1360" customFormat="1" ht="10.5" hidden="1">
      <c r="A43" s="1342" t="s">
        <v>1198</v>
      </c>
      <c r="B43" s="1343">
        <f>SUM(B34:B41)</f>
        <v>105010796</v>
      </c>
      <c r="C43" s="1343">
        <f>SUM(C34:C42)</f>
        <v>146494419.89999998</v>
      </c>
      <c r="D43" s="1343">
        <f>SUM(D34:D41)</f>
        <v>127916817.48</v>
      </c>
      <c r="E43" s="1343">
        <f>SUM(E34:E41)</f>
        <v>773565813.4</v>
      </c>
      <c r="F43" s="1343">
        <f>SUM(F34:F41)</f>
        <v>60062787.120000005</v>
      </c>
      <c r="G43" s="1343">
        <f>SUM(G34:G41)</f>
        <v>20121537.66</v>
      </c>
      <c r="H43" s="1343">
        <f>SUM(H34:H41)</f>
        <v>34806093.480000004</v>
      </c>
      <c r="I43" s="1343"/>
      <c r="J43" s="1343">
        <f>SUM(J34:J41)</f>
        <v>20528530</v>
      </c>
      <c r="K43" s="1343">
        <f t="shared" si="6"/>
        <v>1288506795.0400002</v>
      </c>
    </row>
    <row r="44" spans="1:11" s="1309" customFormat="1" ht="10.5" hidden="1">
      <c r="A44" s="1364" t="s">
        <v>1005</v>
      </c>
      <c r="B44" s="1365">
        <v>52505398</v>
      </c>
      <c r="C44" s="1366">
        <f>72141999.07+967639.05</f>
        <v>73109638.11999999</v>
      </c>
      <c r="D44" s="1366">
        <v>63958407.74</v>
      </c>
      <c r="E44" s="1366">
        <v>381182246.02</v>
      </c>
      <c r="F44" s="1366">
        <v>30019366.3</v>
      </c>
      <c r="G44" s="1366">
        <v>10060768.83</v>
      </c>
      <c r="H44" s="1366">
        <f>17854318.08+2212878.48</f>
        <v>20067196.56</v>
      </c>
      <c r="I44" s="1366"/>
      <c r="J44" s="1366">
        <v>10264265</v>
      </c>
      <c r="K44" s="1366">
        <f t="shared" si="6"/>
        <v>641167286.5699999</v>
      </c>
    </row>
    <row r="45" spans="1:11" s="1309" customFormat="1" ht="10.5" hidden="1">
      <c r="A45" s="1364" t="s">
        <v>1040</v>
      </c>
      <c r="B45" s="1366">
        <f aca="true" t="shared" si="7" ref="B45:H45">B43-B44</f>
        <v>52505398</v>
      </c>
      <c r="C45" s="1366">
        <f t="shared" si="7"/>
        <v>73384781.77999999</v>
      </c>
      <c r="D45" s="1366">
        <f t="shared" si="7"/>
        <v>63958409.74</v>
      </c>
      <c r="E45" s="1366">
        <f t="shared" si="7"/>
        <v>392383567.38</v>
      </c>
      <c r="F45" s="1366">
        <f t="shared" si="7"/>
        <v>30043420.820000004</v>
      </c>
      <c r="G45" s="1366">
        <f t="shared" si="7"/>
        <v>10060768.83</v>
      </c>
      <c r="H45" s="1366">
        <f t="shared" si="7"/>
        <v>14738896.920000006</v>
      </c>
      <c r="I45" s="1366"/>
      <c r="J45" s="1366">
        <f>J43-J44</f>
        <v>10264265</v>
      </c>
      <c r="K45" s="1366">
        <f>K43-K44</f>
        <v>647339508.4700003</v>
      </c>
    </row>
    <row r="46" spans="1:12" s="1309" customFormat="1" ht="10.5">
      <c r="A46" s="1330"/>
      <c r="B46" s="1338"/>
      <c r="C46" s="1338"/>
      <c r="D46" s="1338"/>
      <c r="E46" s="1338"/>
      <c r="F46" s="1338"/>
      <c r="G46" s="1338"/>
      <c r="H46" s="1357"/>
      <c r="I46" s="1357"/>
      <c r="J46" s="1338"/>
      <c r="K46" s="1332"/>
      <c r="L46" s="1367"/>
    </row>
    <row r="47" spans="1:11" s="1310" customFormat="1" ht="10.5">
      <c r="A47" s="1324" t="s">
        <v>592</v>
      </c>
      <c r="B47" s="1331"/>
      <c r="C47" s="1368"/>
      <c r="D47" s="1368"/>
      <c r="E47" s="1368"/>
      <c r="F47" s="1368"/>
      <c r="G47" s="1368"/>
      <c r="H47" s="1368"/>
      <c r="I47" s="1368"/>
      <c r="J47" s="1369"/>
      <c r="K47" s="1332"/>
    </row>
    <row r="48" spans="1:11" s="1310" customFormat="1" ht="10.5">
      <c r="A48" s="1329" t="s">
        <v>1188</v>
      </c>
      <c r="B48" s="1331"/>
      <c r="C48" s="1368"/>
      <c r="D48" s="1368"/>
      <c r="E48" s="1368"/>
      <c r="F48" s="1368"/>
      <c r="G48" s="1368"/>
      <c r="H48" s="1368"/>
      <c r="I48" s="1368"/>
      <c r="J48" s="1369"/>
      <c r="K48" s="1332"/>
    </row>
    <row r="49" spans="1:11" s="1310" customFormat="1" ht="10.5">
      <c r="A49" s="1330" t="s">
        <v>1189</v>
      </c>
      <c r="B49" s="1331">
        <v>0</v>
      </c>
      <c r="C49" s="1331">
        <v>37612768</v>
      </c>
      <c r="D49" s="1332">
        <v>38344526</v>
      </c>
      <c r="E49" s="1332">
        <v>242953768</v>
      </c>
      <c r="F49" s="1332">
        <v>26044100</v>
      </c>
      <c r="G49" s="1332">
        <v>6994425</v>
      </c>
      <c r="H49" s="1332">
        <v>0</v>
      </c>
      <c r="I49" s="1333">
        <f aca="true" t="shared" si="8" ref="I49:I54">SUM(B49:H49)</f>
        <v>351949587</v>
      </c>
      <c r="J49" s="1333">
        <v>4908508</v>
      </c>
      <c r="K49" s="1332">
        <f aca="true" t="shared" si="9" ref="K49:K55">SUM(I49:J49)</f>
        <v>356858095</v>
      </c>
    </row>
    <row r="50" spans="1:13" s="1310" customFormat="1" ht="10.5">
      <c r="A50" s="1330" t="s">
        <v>593</v>
      </c>
      <c r="B50" s="1331">
        <v>0</v>
      </c>
      <c r="C50" s="1338">
        <v>2925901.39</v>
      </c>
      <c r="D50" s="1333">
        <v>795111.37</v>
      </c>
      <c r="E50" s="1333">
        <v>6537013.62</v>
      </c>
      <c r="F50" s="1333">
        <v>500001.33</v>
      </c>
      <c r="G50" s="1333">
        <v>390600.78</v>
      </c>
      <c r="H50" s="1332">
        <v>0</v>
      </c>
      <c r="I50" s="1333">
        <f t="shared" si="8"/>
        <v>11148628.49</v>
      </c>
      <c r="J50" s="1333">
        <v>255704.43</v>
      </c>
      <c r="K50" s="1332">
        <f t="shared" si="9"/>
        <v>11404332.92</v>
      </c>
      <c r="M50" s="1370"/>
    </row>
    <row r="51" spans="1:12" s="1310" customFormat="1" ht="10.5">
      <c r="A51" s="1330" t="s">
        <v>590</v>
      </c>
      <c r="B51" s="1331">
        <v>0</v>
      </c>
      <c r="C51" s="1331">
        <v>0</v>
      </c>
      <c r="D51" s="1332">
        <v>0</v>
      </c>
      <c r="E51" s="1333">
        <v>-2518</v>
      </c>
      <c r="F51" s="1333">
        <v>-85400.09</v>
      </c>
      <c r="G51" s="1333">
        <v>0</v>
      </c>
      <c r="H51" s="1332">
        <v>0</v>
      </c>
      <c r="I51" s="1333">
        <f t="shared" si="8"/>
        <v>-87918.09</v>
      </c>
      <c r="J51" s="1333">
        <v>0</v>
      </c>
      <c r="K51" s="1332">
        <f t="shared" si="9"/>
        <v>-87918.09</v>
      </c>
      <c r="L51" s="1311"/>
    </row>
    <row r="52" spans="1:12" s="1310" customFormat="1" ht="10.5">
      <c r="A52" s="1330" t="s">
        <v>925</v>
      </c>
      <c r="B52" s="1331">
        <v>0</v>
      </c>
      <c r="C52" s="1331">
        <v>0</v>
      </c>
      <c r="D52" s="1332">
        <v>0</v>
      </c>
      <c r="E52" s="1333">
        <v>0</v>
      </c>
      <c r="F52" s="1333">
        <v>-7942.93</v>
      </c>
      <c r="G52" s="1333">
        <v>0</v>
      </c>
      <c r="H52" s="1332">
        <v>0</v>
      </c>
      <c r="I52" s="1333">
        <f t="shared" si="8"/>
        <v>-7942.93</v>
      </c>
      <c r="J52" s="1333">
        <v>0</v>
      </c>
      <c r="K52" s="1332">
        <f t="shared" si="9"/>
        <v>-7942.93</v>
      </c>
      <c r="L52" s="1311"/>
    </row>
    <row r="53" spans="1:11" s="1309" customFormat="1" ht="10.5">
      <c r="A53" s="1342" t="s">
        <v>1190</v>
      </c>
      <c r="B53" s="1371">
        <f aca="true" t="shared" si="10" ref="B53:H53">SUM(B49:B52)</f>
        <v>0</v>
      </c>
      <c r="C53" s="1371">
        <f t="shared" si="10"/>
        <v>40538669.39</v>
      </c>
      <c r="D53" s="1371">
        <f t="shared" si="10"/>
        <v>39139637.37</v>
      </c>
      <c r="E53" s="1371">
        <f t="shared" si="10"/>
        <v>249488263.62</v>
      </c>
      <c r="F53" s="1371">
        <f t="shared" si="10"/>
        <v>26450758.31</v>
      </c>
      <c r="G53" s="1371">
        <f t="shared" si="10"/>
        <v>7385025.78</v>
      </c>
      <c r="H53" s="1371">
        <f t="shared" si="10"/>
        <v>0</v>
      </c>
      <c r="I53" s="1345">
        <f t="shared" si="8"/>
        <v>363002354.46999997</v>
      </c>
      <c r="J53" s="1371">
        <f>SUM(J49:J52)</f>
        <v>5164212.43</v>
      </c>
      <c r="K53" s="1371">
        <f t="shared" si="9"/>
        <v>368166566.9</v>
      </c>
    </row>
    <row r="54" spans="1:14" s="1349" customFormat="1" ht="10.5">
      <c r="A54" s="1346" t="s">
        <v>1005</v>
      </c>
      <c r="B54" s="1347">
        <v>0</v>
      </c>
      <c r="C54" s="1347">
        <f>-SUM('[18]TB'!$D$269:$D$274)</f>
        <v>40538668.550000004</v>
      </c>
      <c r="D54" s="1347">
        <f>-SUM('[18]TB'!$D$265:$D$268)</f>
        <v>39139637.4</v>
      </c>
      <c r="E54" s="1347">
        <f>-SUM('[18]TB'!$D$275:$D$292,'[18]TB'!$D$297:$D$321)</f>
        <v>249488263.32000005</v>
      </c>
      <c r="F54" s="1347">
        <f>-SUM('[18]TB'!$D$322:$D$345)</f>
        <v>26450758.289999995</v>
      </c>
      <c r="G54" s="1347">
        <f>-SUM('[18]TB'!$D$293:$D$296)</f>
        <v>7385025.58</v>
      </c>
      <c r="H54" s="1347">
        <v>0</v>
      </c>
      <c r="I54" s="1348">
        <f t="shared" si="8"/>
        <v>363002353.14000005</v>
      </c>
      <c r="J54" s="1347">
        <v>5164212.78</v>
      </c>
      <c r="K54" s="1347">
        <f t="shared" si="9"/>
        <v>368166565.92</v>
      </c>
      <c r="N54" s="1350"/>
    </row>
    <row r="55" spans="1:12" s="1352" customFormat="1" ht="10.5">
      <c r="A55" s="1346" t="s">
        <v>665</v>
      </c>
      <c r="B55" s="1347">
        <f aca="true" t="shared" si="11" ref="B55:J55">B53-B54</f>
        <v>0</v>
      </c>
      <c r="C55" s="1351">
        <f t="shared" si="11"/>
        <v>0.8399999961256981</v>
      </c>
      <c r="D55" s="1351">
        <f t="shared" si="11"/>
        <v>-0.030000001192092896</v>
      </c>
      <c r="E55" s="1351">
        <f t="shared" si="11"/>
        <v>0.2999999523162842</v>
      </c>
      <c r="F55" s="1351">
        <f t="shared" si="11"/>
        <v>0.020000003278255463</v>
      </c>
      <c r="G55" s="1351">
        <f t="shared" si="11"/>
        <v>0.20000000018626451</v>
      </c>
      <c r="H55" s="1347">
        <f t="shared" si="11"/>
        <v>0</v>
      </c>
      <c r="I55" s="1351">
        <f t="shared" si="11"/>
        <v>1.3299999237060547</v>
      </c>
      <c r="J55" s="1351">
        <f t="shared" si="11"/>
        <v>-0.35000000055879354</v>
      </c>
      <c r="K55" s="1351">
        <f t="shared" si="9"/>
        <v>0.9799999231472611</v>
      </c>
      <c r="L55" s="1352" t="s">
        <v>1191</v>
      </c>
    </row>
    <row r="56" spans="1:11" s="1310" customFormat="1" ht="10.5">
      <c r="A56" s="1346"/>
      <c r="B56" s="1372"/>
      <c r="C56" s="1372"/>
      <c r="D56" s="1372"/>
      <c r="E56" s="1372"/>
      <c r="F56" s="1372"/>
      <c r="G56" s="1372"/>
      <c r="H56" s="1372"/>
      <c r="I56" s="1372"/>
      <c r="J56" s="1372"/>
      <c r="K56" s="1372"/>
    </row>
    <row r="57" spans="1:11" s="1310" customFormat="1" ht="10.5" hidden="1">
      <c r="A57" s="1329" t="s">
        <v>1192</v>
      </c>
      <c r="B57" s="1372"/>
      <c r="C57" s="1372"/>
      <c r="D57" s="1372"/>
      <c r="E57" s="1372"/>
      <c r="F57" s="1372"/>
      <c r="G57" s="1372"/>
      <c r="H57" s="1372"/>
      <c r="I57" s="1372"/>
      <c r="J57" s="1372"/>
      <c r="K57" s="1372"/>
    </row>
    <row r="58" spans="1:13" s="1310" customFormat="1" ht="10.5" hidden="1">
      <c r="A58" s="1330" t="s">
        <v>593</v>
      </c>
      <c r="B58" s="1372"/>
      <c r="C58" s="1372"/>
      <c r="D58" s="1372"/>
      <c r="E58" s="1372"/>
      <c r="F58" s="1372"/>
      <c r="G58" s="1372"/>
      <c r="H58" s="1372"/>
      <c r="I58" s="1372"/>
      <c r="J58" s="1372"/>
      <c r="K58" s="1372">
        <f>SUM(B58:J58)</f>
        <v>0</v>
      </c>
      <c r="L58" s="1373"/>
      <c r="M58" s="1374"/>
    </row>
    <row r="59" spans="1:13" s="1310" customFormat="1" ht="10.5" hidden="1">
      <c r="A59" s="1330" t="s">
        <v>590</v>
      </c>
      <c r="B59" s="1372"/>
      <c r="C59" s="1372"/>
      <c r="D59" s="1372"/>
      <c r="E59" s="1372"/>
      <c r="F59" s="1372"/>
      <c r="G59" s="1372"/>
      <c r="H59" s="1372"/>
      <c r="I59" s="1372"/>
      <c r="J59" s="1372"/>
      <c r="K59" s="1372">
        <f>SUM(B59:J59)</f>
        <v>0</v>
      </c>
      <c r="L59" s="1375"/>
      <c r="M59" s="1375"/>
    </row>
    <row r="60" spans="1:13" s="1310" customFormat="1" ht="10.5" hidden="1">
      <c r="A60" s="1330" t="s">
        <v>925</v>
      </c>
      <c r="B60" s="1372"/>
      <c r="C60" s="1372"/>
      <c r="D60" s="1372"/>
      <c r="E60" s="1372"/>
      <c r="F60" s="1372"/>
      <c r="G60" s="1372"/>
      <c r="H60" s="1372"/>
      <c r="I60" s="1372"/>
      <c r="J60" s="1372"/>
      <c r="K60" s="1372">
        <f>SUM(B60:J60)</f>
        <v>0</v>
      </c>
      <c r="L60" s="1375"/>
      <c r="M60" s="1376"/>
    </row>
    <row r="61" spans="1:12" s="1360" customFormat="1" ht="10.5" hidden="1">
      <c r="A61" s="1342" t="s">
        <v>1193</v>
      </c>
      <c r="B61" s="1371">
        <f aca="true" t="shared" si="12" ref="B61:H61">SUM(B53:B60)</f>
        <v>0</v>
      </c>
      <c r="C61" s="1371">
        <f t="shared" si="12"/>
        <v>81077338.78</v>
      </c>
      <c r="D61" s="1371">
        <f t="shared" si="12"/>
        <v>78279274.74</v>
      </c>
      <c r="E61" s="1371">
        <f t="shared" si="12"/>
        <v>498976527.24</v>
      </c>
      <c r="F61" s="1371">
        <f t="shared" si="12"/>
        <v>52901516.62</v>
      </c>
      <c r="G61" s="1371">
        <f t="shared" si="12"/>
        <v>14770051.559999999</v>
      </c>
      <c r="H61" s="1371">
        <f t="shared" si="12"/>
        <v>0</v>
      </c>
      <c r="I61" s="1371"/>
      <c r="J61" s="1371">
        <f>SUM(J53:J60)</f>
        <v>10328424.86</v>
      </c>
      <c r="K61" s="1371">
        <f>SUM(K53:K60)</f>
        <v>736333133.7999998</v>
      </c>
      <c r="L61" s="1359"/>
    </row>
    <row r="62" spans="1:11" s="1310" customFormat="1" ht="10.5" hidden="1">
      <c r="A62" s="1330"/>
      <c r="B62" s="1372"/>
      <c r="C62" s="1372"/>
      <c r="D62" s="1372"/>
      <c r="E62" s="1372"/>
      <c r="F62" s="1372"/>
      <c r="G62" s="1372"/>
      <c r="H62" s="1372"/>
      <c r="I62" s="1372"/>
      <c r="J62" s="1372"/>
      <c r="K62" s="1372"/>
    </row>
    <row r="63" spans="1:11" s="1310" customFormat="1" ht="10.5" hidden="1">
      <c r="A63" s="1329" t="s">
        <v>1194</v>
      </c>
      <c r="B63" s="1372"/>
      <c r="C63" s="1372"/>
      <c r="D63" s="1372"/>
      <c r="E63" s="1372"/>
      <c r="F63" s="1372"/>
      <c r="G63" s="1372"/>
      <c r="H63" s="1372"/>
      <c r="I63" s="1372"/>
      <c r="J63" s="1372"/>
      <c r="K63" s="1372"/>
    </row>
    <row r="64" spans="1:13" s="1310" customFormat="1" ht="10.5" hidden="1">
      <c r="A64" s="1330" t="s">
        <v>593</v>
      </c>
      <c r="B64" s="1372"/>
      <c r="C64" s="1372"/>
      <c r="D64" s="1372"/>
      <c r="E64" s="1377"/>
      <c r="F64" s="1372"/>
      <c r="G64" s="1372"/>
      <c r="H64" s="1372"/>
      <c r="I64" s="1372"/>
      <c r="J64" s="1372"/>
      <c r="K64" s="1372">
        <f>SUM(B64:J64)</f>
        <v>0</v>
      </c>
      <c r="M64" s="1374"/>
    </row>
    <row r="65" spans="1:13" s="1310" customFormat="1" ht="10.5" hidden="1">
      <c r="A65" s="1330" t="s">
        <v>590</v>
      </c>
      <c r="B65" s="1372"/>
      <c r="C65" s="1372"/>
      <c r="D65" s="1372"/>
      <c r="E65" s="1372"/>
      <c r="F65" s="1372"/>
      <c r="G65" s="1372"/>
      <c r="H65" s="1372"/>
      <c r="I65" s="1372"/>
      <c r="J65" s="1372"/>
      <c r="K65" s="1372">
        <f>SUM(B65:J65)</f>
        <v>0</v>
      </c>
      <c r="L65" s="1375"/>
      <c r="M65" s="1311"/>
    </row>
    <row r="66" spans="1:12" s="1310" customFormat="1" ht="10.5" hidden="1">
      <c r="A66" s="1330" t="s">
        <v>925</v>
      </c>
      <c r="B66" s="1372"/>
      <c r="C66" s="1372"/>
      <c r="D66" s="1372"/>
      <c r="E66" s="1372"/>
      <c r="F66" s="1372"/>
      <c r="G66" s="1372"/>
      <c r="H66" s="1372"/>
      <c r="I66" s="1372"/>
      <c r="J66" s="1372"/>
      <c r="K66" s="1372">
        <f>SUM(B66:J66)</f>
        <v>0</v>
      </c>
      <c r="L66" s="1375"/>
    </row>
    <row r="67" spans="1:11" s="1360" customFormat="1" ht="10.5" hidden="1">
      <c r="A67" s="1342" t="s">
        <v>1195</v>
      </c>
      <c r="B67" s="1371">
        <f aca="true" t="shared" si="13" ref="B67:H67">SUM(B61:B66)</f>
        <v>0</v>
      </c>
      <c r="C67" s="1371">
        <f t="shared" si="13"/>
        <v>81077338.78</v>
      </c>
      <c r="D67" s="1371">
        <f t="shared" si="13"/>
        <v>78279274.74</v>
      </c>
      <c r="E67" s="1371">
        <f t="shared" si="13"/>
        <v>498976527.24</v>
      </c>
      <c r="F67" s="1371">
        <f t="shared" si="13"/>
        <v>52901516.62</v>
      </c>
      <c r="G67" s="1371">
        <f t="shared" si="13"/>
        <v>14770051.559999999</v>
      </c>
      <c r="H67" s="1371">
        <f t="shared" si="13"/>
        <v>0</v>
      </c>
      <c r="I67" s="1371"/>
      <c r="J67" s="1371">
        <f>SUM(J61:J66)</f>
        <v>10328424.86</v>
      </c>
      <c r="K67" s="1371">
        <f>SUM(K61:K66)</f>
        <v>736333133.7999998</v>
      </c>
    </row>
    <row r="68" spans="1:11" s="1310" customFormat="1" ht="10.5" hidden="1">
      <c r="A68" s="1330"/>
      <c r="B68" s="1372"/>
      <c r="C68" s="1372"/>
      <c r="D68" s="1372"/>
      <c r="E68" s="1372"/>
      <c r="F68" s="1372"/>
      <c r="G68" s="1372"/>
      <c r="H68" s="1372"/>
      <c r="I68" s="1372"/>
      <c r="J68" s="1372"/>
      <c r="K68" s="1372"/>
    </row>
    <row r="69" spans="1:11" s="1310" customFormat="1" ht="10.5" hidden="1">
      <c r="A69" s="1329" t="s">
        <v>1196</v>
      </c>
      <c r="B69" s="1372"/>
      <c r="C69" s="1372"/>
      <c r="D69" s="1372"/>
      <c r="E69" s="1372"/>
      <c r="F69" s="1372"/>
      <c r="G69" s="1372"/>
      <c r="H69" s="1372"/>
      <c r="I69" s="1372"/>
      <c r="J69" s="1372"/>
      <c r="K69" s="1372"/>
    </row>
    <row r="70" spans="1:13" s="1310" customFormat="1" ht="10.5" hidden="1">
      <c r="A70" s="1330" t="s">
        <v>593</v>
      </c>
      <c r="B70" s="1372"/>
      <c r="C70" s="1372"/>
      <c r="D70" s="1372"/>
      <c r="E70" s="1372"/>
      <c r="F70" s="1372"/>
      <c r="G70" s="1372"/>
      <c r="H70" s="1372"/>
      <c r="I70" s="1372"/>
      <c r="J70" s="1372"/>
      <c r="K70" s="1372">
        <f>SUM(B70:J70)</f>
        <v>0</v>
      </c>
      <c r="M70" s="1374"/>
    </row>
    <row r="71" spans="1:13" s="1310" customFormat="1" ht="10.5" hidden="1">
      <c r="A71" s="1330" t="s">
        <v>590</v>
      </c>
      <c r="B71" s="1372"/>
      <c r="C71" s="1372"/>
      <c r="D71" s="1372"/>
      <c r="E71" s="1372"/>
      <c r="F71" s="1372"/>
      <c r="G71" s="1372"/>
      <c r="H71" s="1372"/>
      <c r="I71" s="1372"/>
      <c r="J71" s="1372"/>
      <c r="K71" s="1372">
        <f>SUM(B71:J71)</f>
        <v>0</v>
      </c>
      <c r="L71" s="1375"/>
      <c r="M71" s="1311"/>
    </row>
    <row r="72" spans="1:12" s="1310" customFormat="1" ht="10.5" hidden="1">
      <c r="A72" s="1330" t="s">
        <v>925</v>
      </c>
      <c r="B72" s="1372"/>
      <c r="C72" s="1372"/>
      <c r="D72" s="1372"/>
      <c r="E72" s="1372"/>
      <c r="F72" s="1372"/>
      <c r="G72" s="1372"/>
      <c r="H72" s="1372"/>
      <c r="I72" s="1372"/>
      <c r="J72" s="1372"/>
      <c r="K72" s="1372">
        <f>SUM(B72:J72)</f>
        <v>0</v>
      </c>
      <c r="L72" s="1375"/>
    </row>
    <row r="73" spans="1:11" s="1360" customFormat="1" ht="10.5" hidden="1">
      <c r="A73" s="1342" t="s">
        <v>1198</v>
      </c>
      <c r="B73" s="1371">
        <f aca="true" t="shared" si="14" ref="B73:G73">SUM(B67:B72)</f>
        <v>0</v>
      </c>
      <c r="C73" s="1371">
        <f t="shared" si="14"/>
        <v>81077338.78</v>
      </c>
      <c r="D73" s="1371">
        <f t="shared" si="14"/>
        <v>78279274.74</v>
      </c>
      <c r="E73" s="1371">
        <f t="shared" si="14"/>
        <v>498976527.24</v>
      </c>
      <c r="F73" s="1371">
        <f t="shared" si="14"/>
        <v>52901516.62</v>
      </c>
      <c r="G73" s="1371">
        <f t="shared" si="14"/>
        <v>14770051.559999999</v>
      </c>
      <c r="H73" s="1371">
        <v>0</v>
      </c>
      <c r="I73" s="1371"/>
      <c r="J73" s="1371">
        <f>SUM(J67:J72)</f>
        <v>10328424.86</v>
      </c>
      <c r="K73" s="1371">
        <f>SUM(C73:J73)</f>
        <v>736333133.8</v>
      </c>
    </row>
    <row r="74" spans="1:13" s="1310" customFormat="1" ht="10.5">
      <c r="A74" s="1330"/>
      <c r="B74" s="1378"/>
      <c r="C74" s="1378"/>
      <c r="D74" s="1378"/>
      <c r="E74" s="1378"/>
      <c r="F74" s="1378"/>
      <c r="G74" s="1378"/>
      <c r="H74" s="1378"/>
      <c r="I74" s="1378"/>
      <c r="J74" s="1378"/>
      <c r="K74" s="1378"/>
      <c r="M74" s="1311"/>
    </row>
    <row r="75" spans="1:11" s="1310" customFormat="1" ht="10.5">
      <c r="A75" s="1324" t="s">
        <v>594</v>
      </c>
      <c r="B75" s="1331"/>
      <c r="C75" s="1331"/>
      <c r="D75" s="1332"/>
      <c r="E75" s="1332"/>
      <c r="F75" s="1332"/>
      <c r="G75" s="1332"/>
      <c r="H75" s="1332"/>
      <c r="I75" s="1332"/>
      <c r="J75" s="1333"/>
      <c r="K75" s="1332"/>
    </row>
    <row r="76" spans="1:11" s="1310" customFormat="1" ht="10.5">
      <c r="A76" s="1379" t="s">
        <v>1189</v>
      </c>
      <c r="B76" s="1380">
        <f aca="true" t="shared" si="15" ref="B76:H76">B12-B49</f>
        <v>52505398</v>
      </c>
      <c r="C76" s="1380">
        <f t="shared" si="15"/>
        <v>35496869.95</v>
      </c>
      <c r="D76" s="1380">
        <f t="shared" si="15"/>
        <v>25613882.740000002</v>
      </c>
      <c r="E76" s="1380">
        <f t="shared" si="15"/>
        <v>138228478.01999998</v>
      </c>
      <c r="F76" s="1380">
        <f t="shared" si="15"/>
        <v>3975266.3000000007</v>
      </c>
      <c r="G76" s="1380">
        <f t="shared" si="15"/>
        <v>3066343.83</v>
      </c>
      <c r="H76" s="1380">
        <f t="shared" si="15"/>
        <v>20067196.68</v>
      </c>
      <c r="I76" s="1345">
        <f>SUM(B76:H76)</f>
        <v>278953435.52</v>
      </c>
      <c r="J76" s="1380">
        <f>J12-J49</f>
        <v>5355757</v>
      </c>
      <c r="K76" s="1380">
        <f>K12-K49</f>
        <v>284309192.52</v>
      </c>
    </row>
    <row r="77" spans="1:11" s="1310" customFormat="1" ht="10.5">
      <c r="A77" s="1330"/>
      <c r="B77" s="1331"/>
      <c r="C77" s="1331"/>
      <c r="D77" s="1331"/>
      <c r="E77" s="1331"/>
      <c r="F77" s="1331"/>
      <c r="G77" s="1331"/>
      <c r="H77" s="1331"/>
      <c r="I77" s="1381" t="s">
        <v>1140</v>
      </c>
      <c r="J77" s="1382" t="s">
        <v>1140</v>
      </c>
      <c r="K77" s="1331"/>
    </row>
    <row r="78" spans="1:14" s="1310" customFormat="1" ht="10.5">
      <c r="A78" s="1383" t="s">
        <v>1190</v>
      </c>
      <c r="B78" s="1384">
        <f aca="true" t="shared" si="16" ref="B78:H78">B18-B53</f>
        <v>52505398</v>
      </c>
      <c r="C78" s="1384">
        <f t="shared" si="16"/>
        <v>32708540.560000002</v>
      </c>
      <c r="D78" s="1384">
        <f t="shared" si="16"/>
        <v>24818771.370000005</v>
      </c>
      <c r="E78" s="1384">
        <f t="shared" si="16"/>
        <v>137294643.07999998</v>
      </c>
      <c r="F78" s="1384">
        <f t="shared" si="16"/>
        <v>3580635.2500000037</v>
      </c>
      <c r="G78" s="1384">
        <f t="shared" si="16"/>
        <v>2675743.05</v>
      </c>
      <c r="H78" s="1384">
        <f t="shared" si="16"/>
        <v>17403046.740000002</v>
      </c>
      <c r="I78" s="1384">
        <f>SUM(B78:H78)</f>
        <v>270986778.05</v>
      </c>
      <c r="J78" s="1384">
        <f>J18-J53</f>
        <v>5100052.57</v>
      </c>
      <c r="K78" s="1384">
        <f>SUM(B78:J78)</f>
        <v>547073608.6700001</v>
      </c>
      <c r="N78" s="1385"/>
    </row>
    <row r="79" spans="2:12" s="1310" customFormat="1" ht="10.5">
      <c r="B79" s="1386"/>
      <c r="C79" s="1386"/>
      <c r="D79" s="1386"/>
      <c r="E79" s="1386"/>
      <c r="F79" s="1386"/>
      <c r="G79" s="1386"/>
      <c r="H79" s="1386"/>
      <c r="I79" s="1386"/>
      <c r="J79" s="1386"/>
      <c r="K79" s="1386"/>
      <c r="L79" s="1311"/>
    </row>
    <row r="80" spans="1:11" s="1360" customFormat="1" ht="10.5" hidden="1">
      <c r="A80" s="1383" t="s">
        <v>1193</v>
      </c>
      <c r="B80" s="1387">
        <f aca="true" t="shared" si="17" ref="B80:H80">B27-B61</f>
        <v>105010796</v>
      </c>
      <c r="C80" s="1387">
        <f t="shared" si="17"/>
        <v>65417081.119999975</v>
      </c>
      <c r="D80" s="1387">
        <f t="shared" si="17"/>
        <v>49637542.74000001</v>
      </c>
      <c r="E80" s="1387">
        <f t="shared" si="17"/>
        <v>274589286.15999997</v>
      </c>
      <c r="F80" s="1387">
        <f t="shared" si="17"/>
        <v>7161270.500000007</v>
      </c>
      <c r="G80" s="1387">
        <f t="shared" si="17"/>
        <v>5351486.1000000015</v>
      </c>
      <c r="H80" s="1387">
        <f t="shared" si="17"/>
        <v>34806093.480000004</v>
      </c>
      <c r="I80" s="1387"/>
      <c r="J80" s="1387">
        <f>J27-J61</f>
        <v>10200105.14</v>
      </c>
      <c r="K80" s="1387">
        <f>K27-K61</f>
        <v>552173661.2400006</v>
      </c>
    </row>
    <row r="81" spans="1:11" s="1360" customFormat="1" ht="10.5" hidden="1">
      <c r="A81" s="1342"/>
      <c r="B81" s="1359"/>
      <c r="C81" s="1359"/>
      <c r="D81" s="1359"/>
      <c r="E81" s="1359"/>
      <c r="F81" s="1359"/>
      <c r="G81" s="1359"/>
      <c r="H81" s="1359"/>
      <c r="I81" s="1359"/>
      <c r="J81" s="1359"/>
      <c r="K81" s="1388"/>
    </row>
    <row r="82" spans="1:12" s="1391" customFormat="1" ht="10.5" hidden="1">
      <c r="A82" s="1383" t="s">
        <v>1195</v>
      </c>
      <c r="B82" s="1389">
        <f aca="true" t="shared" si="18" ref="B82:H82">B34-B67</f>
        <v>105010796</v>
      </c>
      <c r="C82" s="1389">
        <f t="shared" si="18"/>
        <v>65417081.119999975</v>
      </c>
      <c r="D82" s="1389">
        <f t="shared" si="18"/>
        <v>49637542.74000001</v>
      </c>
      <c r="E82" s="1389">
        <f t="shared" si="18"/>
        <v>274589286.15999997</v>
      </c>
      <c r="F82" s="1389">
        <f t="shared" si="18"/>
        <v>7161270.500000007</v>
      </c>
      <c r="G82" s="1389">
        <f t="shared" si="18"/>
        <v>5351486.1000000015</v>
      </c>
      <c r="H82" s="1389">
        <f t="shared" si="18"/>
        <v>34806093.480000004</v>
      </c>
      <c r="I82" s="1389"/>
      <c r="J82" s="1389">
        <f>J34-J67</f>
        <v>10200105.14</v>
      </c>
      <c r="K82" s="1389">
        <f>K34-K67</f>
        <v>552173661.2400006</v>
      </c>
      <c r="L82" s="1390"/>
    </row>
    <row r="83" s="1392" customFormat="1" ht="10.5" hidden="1">
      <c r="J83" s="1391"/>
    </row>
    <row r="84" spans="1:13" s="1395" customFormat="1" ht="11.25" hidden="1" thickBot="1">
      <c r="A84" s="1383" t="s">
        <v>1198</v>
      </c>
      <c r="B84" s="1389">
        <f aca="true" t="shared" si="19" ref="B84:H84">B43-B73</f>
        <v>105010796</v>
      </c>
      <c r="C84" s="1389">
        <f t="shared" si="19"/>
        <v>65417081.119999975</v>
      </c>
      <c r="D84" s="1389">
        <f t="shared" si="19"/>
        <v>49637542.74000001</v>
      </c>
      <c r="E84" s="1389">
        <f t="shared" si="19"/>
        <v>274589286.15999997</v>
      </c>
      <c r="F84" s="1389">
        <f t="shared" si="19"/>
        <v>7161270.500000007</v>
      </c>
      <c r="G84" s="1389">
        <f t="shared" si="19"/>
        <v>5351486.1000000015</v>
      </c>
      <c r="H84" s="1389">
        <f t="shared" si="19"/>
        <v>34806093.480000004</v>
      </c>
      <c r="I84" s="1389"/>
      <c r="J84" s="1389">
        <f>J43-J73</f>
        <v>10200105.14</v>
      </c>
      <c r="K84" s="1389">
        <f>K43-K73</f>
        <v>552173661.2400002</v>
      </c>
      <c r="L84" s="1393">
        <f>K84-J84</f>
        <v>541973556.1000003</v>
      </c>
      <c r="M84" s="1394">
        <f>SUM(M10:M83)</f>
        <v>3198280.56</v>
      </c>
    </row>
    <row r="85" spans="1:13" s="1395" customFormat="1" ht="11.25" hidden="1" thickTop="1">
      <c r="A85" s="1342"/>
      <c r="B85" s="1393"/>
      <c r="C85" s="1393"/>
      <c r="D85" s="1393"/>
      <c r="E85" s="1393"/>
      <c r="F85" s="1393"/>
      <c r="G85" s="1393"/>
      <c r="H85" s="1393"/>
      <c r="I85" s="1393"/>
      <c r="J85" s="1393"/>
      <c r="K85" s="1393"/>
      <c r="L85" s="1393"/>
      <c r="M85" s="1396"/>
    </row>
    <row r="86" spans="1:13" s="1395" customFormat="1" ht="11.25" customHeight="1" hidden="1">
      <c r="A86" s="1397" t="s">
        <v>1199</v>
      </c>
      <c r="B86" s="1398"/>
      <c r="C86" s="1398"/>
      <c r="D86" s="1398"/>
      <c r="E86" s="1398"/>
      <c r="F86" s="1398"/>
      <c r="G86" s="1398"/>
      <c r="H86" s="1398"/>
      <c r="I86" s="1398"/>
      <c r="J86" s="1398"/>
      <c r="K86" s="1399"/>
      <c r="L86" s="1393"/>
      <c r="M86" s="1396"/>
    </row>
    <row r="87" spans="1:11" s="1310" customFormat="1" ht="11.25" customHeight="1" hidden="1">
      <c r="A87" s="1400" t="s">
        <v>588</v>
      </c>
      <c r="B87" s="1401"/>
      <c r="C87" s="1401"/>
      <c r="D87" s="1402"/>
      <c r="E87" s="1403"/>
      <c r="F87" s="1404"/>
      <c r="G87" s="1402"/>
      <c r="H87" s="1402"/>
      <c r="I87" s="1402"/>
      <c r="J87" s="1402"/>
      <c r="K87" s="1405"/>
    </row>
    <row r="88" spans="1:11" s="1310" customFormat="1" ht="11.25" customHeight="1" hidden="1">
      <c r="A88" s="1406" t="s">
        <v>1189</v>
      </c>
      <c r="B88" s="1407">
        <v>52505398</v>
      </c>
      <c r="C88" s="1407">
        <v>55867617.92000001</v>
      </c>
      <c r="D88" s="1408">
        <v>63958407.74</v>
      </c>
      <c r="E88" s="1408">
        <v>372137077.48</v>
      </c>
      <c r="F88" s="1408">
        <v>30153514.23</v>
      </c>
      <c r="G88" s="1408">
        <v>12231291.14</v>
      </c>
      <c r="H88" s="1408">
        <v>13186495.459999954</v>
      </c>
      <c r="I88" s="1408"/>
      <c r="J88" s="1408">
        <v>10264265</v>
      </c>
      <c r="K88" s="1409">
        <f>SUM(B88:J88)</f>
        <v>610304066.97</v>
      </c>
    </row>
    <row r="89" spans="1:11" s="1310" customFormat="1" ht="11.25" customHeight="1" hidden="1">
      <c r="A89" s="1406" t="s">
        <v>589</v>
      </c>
      <c r="B89" s="1407">
        <f aca="true" t="shared" si="20" ref="B89:H92">SUM(B13,B22,B30,B37)</f>
        <v>0</v>
      </c>
      <c r="C89" s="1407">
        <f t="shared" si="20"/>
        <v>15000</v>
      </c>
      <c r="D89" s="1407">
        <f t="shared" si="20"/>
        <v>0</v>
      </c>
      <c r="E89" s="1407">
        <f t="shared" si="20"/>
        <v>81429.25</v>
      </c>
      <c r="F89" s="1407">
        <f t="shared" si="20"/>
        <v>113630.05</v>
      </c>
      <c r="G89" s="1407">
        <f t="shared" si="20"/>
        <v>0</v>
      </c>
      <c r="H89" s="1407">
        <f t="shared" si="20"/>
        <v>2980173.49</v>
      </c>
      <c r="I89" s="1407"/>
      <c r="J89" s="1407">
        <f>SUM(J13,J22,J30,J37)</f>
        <v>0</v>
      </c>
      <c r="K89" s="1409">
        <f>SUM(B89:J89)</f>
        <v>3190232.79</v>
      </c>
    </row>
    <row r="90" spans="1:11" s="1310" customFormat="1" ht="11.25" customHeight="1" hidden="1">
      <c r="A90" s="1406" t="s">
        <v>590</v>
      </c>
      <c r="B90" s="1407">
        <f t="shared" si="20"/>
        <v>0</v>
      </c>
      <c r="C90" s="1407">
        <f t="shared" si="20"/>
        <v>0</v>
      </c>
      <c r="D90" s="1407">
        <f t="shared" si="20"/>
        <v>0</v>
      </c>
      <c r="E90" s="1407">
        <f t="shared" si="20"/>
        <v>-2520</v>
      </c>
      <c r="F90" s="1407">
        <f t="shared" si="20"/>
        <v>-93444.86</v>
      </c>
      <c r="G90" s="1407">
        <f t="shared" si="20"/>
        <v>0</v>
      </c>
      <c r="H90" s="1407">
        <f t="shared" si="20"/>
        <v>0</v>
      </c>
      <c r="I90" s="1407"/>
      <c r="J90" s="1407">
        <f>SUM(J14,J23,J31,J38)</f>
        <v>0</v>
      </c>
      <c r="K90" s="1410">
        <f>SUM(K14,K23,K31,K38)</f>
        <v>-95964.86</v>
      </c>
    </row>
    <row r="91" spans="1:11" s="1310" customFormat="1" ht="11.25" customHeight="1" hidden="1">
      <c r="A91" s="1406" t="s">
        <v>925</v>
      </c>
      <c r="B91" s="1407">
        <f t="shared" si="20"/>
        <v>0</v>
      </c>
      <c r="C91" s="1407">
        <f t="shared" si="20"/>
        <v>0</v>
      </c>
      <c r="D91" s="1407">
        <f t="shared" si="20"/>
        <v>0</v>
      </c>
      <c r="E91" s="1407">
        <f t="shared" si="20"/>
        <v>0</v>
      </c>
      <c r="F91" s="1407">
        <f t="shared" si="20"/>
        <v>-7943.93</v>
      </c>
      <c r="G91" s="1407">
        <f t="shared" si="20"/>
        <v>0</v>
      </c>
      <c r="H91" s="1407">
        <f t="shared" si="20"/>
        <v>0</v>
      </c>
      <c r="I91" s="1407"/>
      <c r="J91" s="1407">
        <f>SUM(J15,J24,J32,J39)</f>
        <v>0</v>
      </c>
      <c r="K91" s="1410">
        <f>SUM(K15,K24,K32,K39)</f>
        <v>-7943.93</v>
      </c>
    </row>
    <row r="92" spans="1:11" s="1310" customFormat="1" ht="11.25" customHeight="1" hidden="1">
      <c r="A92" s="1406" t="s">
        <v>591</v>
      </c>
      <c r="B92" s="1407">
        <f t="shared" si="20"/>
        <v>0</v>
      </c>
      <c r="C92" s="1407">
        <f t="shared" si="20"/>
        <v>122572</v>
      </c>
      <c r="D92" s="1407">
        <f t="shared" si="20"/>
        <v>0</v>
      </c>
      <c r="E92" s="1407">
        <f t="shared" si="20"/>
        <v>5521751.43</v>
      </c>
      <c r="F92" s="1407">
        <f t="shared" si="20"/>
        <v>0</v>
      </c>
      <c r="G92" s="1407">
        <f t="shared" si="20"/>
        <v>0</v>
      </c>
      <c r="H92" s="1407">
        <f t="shared" si="20"/>
        <v>-5644323.43</v>
      </c>
      <c r="I92" s="1407"/>
      <c r="J92" s="1407">
        <f>SUM(J16,J25,J33,J40)</f>
        <v>0</v>
      </c>
      <c r="K92" s="1410">
        <f>SUM(K16,K25,K33,K40)</f>
        <v>0</v>
      </c>
    </row>
    <row r="93" spans="1:12" s="1310" customFormat="1" ht="11.25" customHeight="1" hidden="1">
      <c r="A93" s="1406" t="s">
        <v>1019</v>
      </c>
      <c r="B93" s="1407">
        <v>0</v>
      </c>
      <c r="C93" s="1407">
        <v>0</v>
      </c>
      <c r="D93" s="1407">
        <v>0</v>
      </c>
      <c r="E93" s="1407">
        <v>0</v>
      </c>
      <c r="F93" s="1407">
        <v>0</v>
      </c>
      <c r="G93" s="1407">
        <v>0</v>
      </c>
      <c r="H93" s="1411">
        <f>H26</f>
        <v>0</v>
      </c>
      <c r="I93" s="1411"/>
      <c r="J93" s="1407">
        <v>0</v>
      </c>
      <c r="K93" s="1409">
        <f>SUM(B93:J93)</f>
        <v>0</v>
      </c>
      <c r="L93" s="1311"/>
    </row>
    <row r="94" spans="1:12" s="1310" customFormat="1" ht="11.25" customHeight="1" hidden="1">
      <c r="A94" s="1406" t="s">
        <v>1200</v>
      </c>
      <c r="B94" s="1407">
        <v>0</v>
      </c>
      <c r="C94" s="1407">
        <v>0</v>
      </c>
      <c r="D94" s="1407">
        <v>0</v>
      </c>
      <c r="E94" s="1407">
        <v>0</v>
      </c>
      <c r="F94" s="1407">
        <v>0</v>
      </c>
      <c r="G94" s="1407">
        <v>0</v>
      </c>
      <c r="H94" s="1411">
        <v>0</v>
      </c>
      <c r="I94" s="1411"/>
      <c r="J94" s="1407">
        <v>0</v>
      </c>
      <c r="K94" s="1409">
        <f>SUM(B94:J94)</f>
        <v>0</v>
      </c>
      <c r="L94" s="1311"/>
    </row>
    <row r="95" spans="1:12" s="1310" customFormat="1" ht="11.25" customHeight="1" hidden="1">
      <c r="A95" s="1406" t="s">
        <v>1201</v>
      </c>
      <c r="B95" s="1407"/>
      <c r="C95" s="1407"/>
      <c r="D95" s="1407"/>
      <c r="E95" s="1407">
        <v>0</v>
      </c>
      <c r="F95" s="1407">
        <v>0</v>
      </c>
      <c r="G95" s="1407">
        <v>0</v>
      </c>
      <c r="H95" s="1411">
        <f>H42</f>
        <v>0</v>
      </c>
      <c r="I95" s="1411"/>
      <c r="J95" s="1407"/>
      <c r="K95" s="1409">
        <f>SUM(B95:J95)</f>
        <v>0</v>
      </c>
      <c r="L95" s="1311"/>
    </row>
    <row r="96" spans="1:11" s="1309" customFormat="1" ht="11.25" customHeight="1" hidden="1">
      <c r="A96" s="1412" t="s">
        <v>1198</v>
      </c>
      <c r="B96" s="1413">
        <f aca="true" t="shared" si="21" ref="B96:G96">SUM(B88:B93)</f>
        <v>52505398</v>
      </c>
      <c r="C96" s="1413">
        <f t="shared" si="21"/>
        <v>56005189.92000001</v>
      </c>
      <c r="D96" s="1413">
        <f t="shared" si="21"/>
        <v>63958407.74</v>
      </c>
      <c r="E96" s="1413">
        <f t="shared" si="21"/>
        <v>377737738.16</v>
      </c>
      <c r="F96" s="1413">
        <f t="shared" si="21"/>
        <v>30165755.490000002</v>
      </c>
      <c r="G96" s="1413">
        <f t="shared" si="21"/>
        <v>12231291.14</v>
      </c>
      <c r="H96" s="1414">
        <f>SUM(H88:H95)</f>
        <v>10522345.519999955</v>
      </c>
      <c r="I96" s="1414"/>
      <c r="J96" s="1413">
        <f>SUM(J88:J93)</f>
        <v>10264265</v>
      </c>
      <c r="K96" s="1415">
        <f>SUM(K88:K95)</f>
        <v>613390390.97</v>
      </c>
    </row>
    <row r="97" spans="1:13" s="1395" customFormat="1" ht="11.25" customHeight="1" hidden="1">
      <c r="A97" s="1412"/>
      <c r="B97" s="1416"/>
      <c r="C97" s="1416"/>
      <c r="D97" s="1416"/>
      <c r="E97" s="1416"/>
      <c r="F97" s="1416"/>
      <c r="G97" s="1416"/>
      <c r="H97" s="1416"/>
      <c r="I97" s="1416"/>
      <c r="J97" s="1416"/>
      <c r="K97" s="1417"/>
      <c r="L97" s="1393"/>
      <c r="M97" s="1396"/>
    </row>
    <row r="98" spans="1:11" s="1309" customFormat="1" ht="11.25" customHeight="1" hidden="1">
      <c r="A98" s="1400" t="s">
        <v>592</v>
      </c>
      <c r="B98" s="1407"/>
      <c r="C98" s="1418"/>
      <c r="D98" s="1418"/>
      <c r="E98" s="1418"/>
      <c r="F98" s="1418"/>
      <c r="G98" s="1418"/>
      <c r="H98" s="1418"/>
      <c r="I98" s="1418"/>
      <c r="J98" s="1418"/>
      <c r="K98" s="1409"/>
    </row>
    <row r="99" spans="1:11" s="1309" customFormat="1" ht="11.25" customHeight="1" hidden="1">
      <c r="A99" s="1406" t="s">
        <v>1189</v>
      </c>
      <c r="B99" s="1407">
        <v>0</v>
      </c>
      <c r="C99" s="1407">
        <v>27552055.57</v>
      </c>
      <c r="D99" s="1408">
        <v>35146605.720000006</v>
      </c>
      <c r="E99" s="1408">
        <v>217729216.20999995</v>
      </c>
      <c r="F99" s="1408">
        <v>26066792.92000001</v>
      </c>
      <c r="G99" s="1408">
        <v>6968641.659999997</v>
      </c>
      <c r="H99" s="1408">
        <v>0</v>
      </c>
      <c r="I99" s="1408"/>
      <c r="J99" s="1408">
        <v>3882880.86</v>
      </c>
      <c r="K99" s="1409">
        <f>SUM(B99:J99)</f>
        <v>317346192.94</v>
      </c>
    </row>
    <row r="100" spans="1:13" s="1309" customFormat="1" ht="11.25" customHeight="1" hidden="1">
      <c r="A100" s="1406" t="s">
        <v>593</v>
      </c>
      <c r="B100" s="1407">
        <f aca="true" t="shared" si="22" ref="B100:H102">SUM(B50,B58,B64,B70)</f>
        <v>0</v>
      </c>
      <c r="C100" s="1407">
        <f t="shared" si="22"/>
        <v>2925901.39</v>
      </c>
      <c r="D100" s="1407">
        <f t="shared" si="22"/>
        <v>795111.37</v>
      </c>
      <c r="E100" s="1407">
        <f t="shared" si="22"/>
        <v>6537013.62</v>
      </c>
      <c r="F100" s="1407">
        <f t="shared" si="22"/>
        <v>500001.33</v>
      </c>
      <c r="G100" s="1407">
        <f t="shared" si="22"/>
        <v>390600.78</v>
      </c>
      <c r="H100" s="1407">
        <f t="shared" si="22"/>
        <v>0</v>
      </c>
      <c r="I100" s="1407"/>
      <c r="J100" s="1407">
        <f aca="true" t="shared" si="23" ref="J100:K102">SUM(J50,J58,J64,J70)</f>
        <v>255704.43</v>
      </c>
      <c r="K100" s="1410">
        <f t="shared" si="23"/>
        <v>11404332.92</v>
      </c>
      <c r="M100" s="1419"/>
    </row>
    <row r="101" spans="1:12" s="1309" customFormat="1" ht="11.25" customHeight="1" hidden="1">
      <c r="A101" s="1406" t="s">
        <v>590</v>
      </c>
      <c r="B101" s="1407">
        <f t="shared" si="22"/>
        <v>0</v>
      </c>
      <c r="C101" s="1407">
        <f t="shared" si="22"/>
        <v>0</v>
      </c>
      <c r="D101" s="1407">
        <f t="shared" si="22"/>
        <v>0</v>
      </c>
      <c r="E101" s="1407">
        <f t="shared" si="22"/>
        <v>-2518</v>
      </c>
      <c r="F101" s="1407">
        <f t="shared" si="22"/>
        <v>-85400.09</v>
      </c>
      <c r="G101" s="1407">
        <f t="shared" si="22"/>
        <v>0</v>
      </c>
      <c r="H101" s="1407">
        <f t="shared" si="22"/>
        <v>0</v>
      </c>
      <c r="I101" s="1407"/>
      <c r="J101" s="1407">
        <f t="shared" si="23"/>
        <v>0</v>
      </c>
      <c r="K101" s="1410">
        <f t="shared" si="23"/>
        <v>-87918.09</v>
      </c>
      <c r="L101" s="1353"/>
    </row>
    <row r="102" spans="1:12" s="1309" customFormat="1" ht="11.25" customHeight="1" hidden="1">
      <c r="A102" s="1406" t="s">
        <v>925</v>
      </c>
      <c r="B102" s="1407">
        <f t="shared" si="22"/>
        <v>0</v>
      </c>
      <c r="C102" s="1407">
        <f t="shared" si="22"/>
        <v>0</v>
      </c>
      <c r="D102" s="1407">
        <f t="shared" si="22"/>
        <v>0</v>
      </c>
      <c r="E102" s="1407">
        <f t="shared" si="22"/>
        <v>0</v>
      </c>
      <c r="F102" s="1407">
        <f t="shared" si="22"/>
        <v>-7942.93</v>
      </c>
      <c r="G102" s="1407">
        <f t="shared" si="22"/>
        <v>0</v>
      </c>
      <c r="H102" s="1407">
        <f t="shared" si="22"/>
        <v>0</v>
      </c>
      <c r="I102" s="1407"/>
      <c r="J102" s="1407">
        <f t="shared" si="23"/>
        <v>0</v>
      </c>
      <c r="K102" s="1410">
        <f t="shared" si="23"/>
        <v>-7942.93</v>
      </c>
      <c r="L102" s="1353"/>
    </row>
    <row r="103" spans="1:11" s="1309" customFormat="1" ht="11.25" customHeight="1" hidden="1">
      <c r="A103" s="1412" t="s">
        <v>1198</v>
      </c>
      <c r="B103" s="1413">
        <f aca="true" t="shared" si="24" ref="B103:H103">SUM(B99:B102)</f>
        <v>0</v>
      </c>
      <c r="C103" s="1413">
        <f t="shared" si="24"/>
        <v>30477956.96</v>
      </c>
      <c r="D103" s="1413">
        <f t="shared" si="24"/>
        <v>35941717.09</v>
      </c>
      <c r="E103" s="1413">
        <f t="shared" si="24"/>
        <v>224263711.82999995</v>
      </c>
      <c r="F103" s="1413">
        <f t="shared" si="24"/>
        <v>26473451.230000008</v>
      </c>
      <c r="G103" s="1413">
        <f t="shared" si="24"/>
        <v>7359242.439999998</v>
      </c>
      <c r="H103" s="1413">
        <f t="shared" si="24"/>
        <v>0</v>
      </c>
      <c r="I103" s="1413"/>
      <c r="J103" s="1413">
        <f>SUM(J99:J102)</f>
        <v>4138585.29</v>
      </c>
      <c r="K103" s="1415">
        <f>SUM(K99:K102)</f>
        <v>328654664.84000003</v>
      </c>
    </row>
    <row r="104" spans="1:13" s="1395" customFormat="1" ht="11.25" customHeight="1" hidden="1">
      <c r="A104" s="1412"/>
      <c r="B104" s="1416"/>
      <c r="C104" s="1416"/>
      <c r="D104" s="1416"/>
      <c r="E104" s="1416"/>
      <c r="F104" s="1416"/>
      <c r="G104" s="1416"/>
      <c r="H104" s="1416"/>
      <c r="I104" s="1416"/>
      <c r="J104" s="1416"/>
      <c r="K104" s="1417"/>
      <c r="L104" s="1393"/>
      <c r="M104" s="1396"/>
    </row>
    <row r="105" spans="1:11" s="1310" customFormat="1" ht="11.25" customHeight="1" hidden="1">
      <c r="A105" s="1400" t="s">
        <v>594</v>
      </c>
      <c r="B105" s="1407"/>
      <c r="C105" s="1407"/>
      <c r="D105" s="1408"/>
      <c r="E105" s="1408"/>
      <c r="F105" s="1408"/>
      <c r="G105" s="1408"/>
      <c r="H105" s="1408"/>
      <c r="I105" s="1408"/>
      <c r="J105" s="1408"/>
      <c r="K105" s="1409"/>
    </row>
    <row r="106" spans="1:11" s="1310" customFormat="1" ht="11.25" customHeight="1" hidden="1">
      <c r="A106" s="1412" t="s">
        <v>1189</v>
      </c>
      <c r="B106" s="1413">
        <f aca="true" t="shared" si="25" ref="B106:H106">B88-B99</f>
        <v>52505398</v>
      </c>
      <c r="C106" s="1413">
        <f t="shared" si="25"/>
        <v>28315562.35000001</v>
      </c>
      <c r="D106" s="1413">
        <f t="shared" si="25"/>
        <v>28811802.019999996</v>
      </c>
      <c r="E106" s="1413">
        <f t="shared" si="25"/>
        <v>154407861.27000007</v>
      </c>
      <c r="F106" s="1413">
        <f t="shared" si="25"/>
        <v>4086721.309999991</v>
      </c>
      <c r="G106" s="1413">
        <f t="shared" si="25"/>
        <v>5262649.480000003</v>
      </c>
      <c r="H106" s="1413">
        <f t="shared" si="25"/>
        <v>13186495.459999954</v>
      </c>
      <c r="I106" s="1413"/>
      <c r="J106" s="1413">
        <f>J88-J99</f>
        <v>6381384.140000001</v>
      </c>
      <c r="K106" s="1415">
        <f>K88-K99</f>
        <v>292957874.03000003</v>
      </c>
    </row>
    <row r="107" spans="1:11" s="1310" customFormat="1" ht="11.25" customHeight="1" hidden="1">
      <c r="A107" s="1406"/>
      <c r="B107" s="1407"/>
      <c r="C107" s="1407"/>
      <c r="D107" s="1407"/>
      <c r="E107" s="1407"/>
      <c r="F107" s="1407"/>
      <c r="G107" s="1407"/>
      <c r="H107" s="1407"/>
      <c r="I107" s="1407"/>
      <c r="J107" s="1407"/>
      <c r="K107" s="1410"/>
    </row>
    <row r="108" spans="1:14" s="1310" customFormat="1" ht="11.25" customHeight="1" hidden="1">
      <c r="A108" s="1412" t="s">
        <v>1198</v>
      </c>
      <c r="B108" s="1413">
        <f>B96-B103</f>
        <v>52505398</v>
      </c>
      <c r="C108" s="1413">
        <f>C43-C73</f>
        <v>65417081.119999975</v>
      </c>
      <c r="D108" s="1413">
        <f>D96-D103</f>
        <v>28016690.65</v>
      </c>
      <c r="E108" s="1413">
        <f>E96-E103</f>
        <v>153474026.33000007</v>
      </c>
      <c r="F108" s="1413">
        <f>F96-F103</f>
        <v>3692304.259999994</v>
      </c>
      <c r="G108" s="1413">
        <f>G96-G103</f>
        <v>4872048.700000003</v>
      </c>
      <c r="H108" s="1413">
        <f>H96-H103</f>
        <v>10522345.519999955</v>
      </c>
      <c r="I108" s="1413"/>
      <c r="J108" s="1413">
        <f>J96-J103</f>
        <v>6125679.71</v>
      </c>
      <c r="K108" s="1415">
        <f>K96-K103</f>
        <v>284735726.13</v>
      </c>
      <c r="N108" s="1385"/>
    </row>
    <row r="109" spans="1:13" s="1395" customFormat="1" ht="11.25" customHeight="1" hidden="1">
      <c r="A109" s="1412"/>
      <c r="B109" s="1416"/>
      <c r="C109" s="1416"/>
      <c r="D109" s="1416"/>
      <c r="E109" s="1416"/>
      <c r="F109" s="1416"/>
      <c r="G109" s="1416"/>
      <c r="H109" s="1416"/>
      <c r="I109" s="1416"/>
      <c r="J109" s="1416"/>
      <c r="K109" s="1417"/>
      <c r="L109" s="1393"/>
      <c r="M109" s="1396"/>
    </row>
    <row r="110" spans="1:13" s="1395" customFormat="1" ht="11.25" customHeight="1" hidden="1">
      <c r="A110" s="1412" t="s">
        <v>1005</v>
      </c>
      <c r="B110" s="1416">
        <v>52505398</v>
      </c>
      <c r="C110" s="1416">
        <f>35249111.13+247759.83</f>
        <v>35496870.96</v>
      </c>
      <c r="D110" s="1416">
        <v>25613881.71</v>
      </c>
      <c r="E110" s="1416">
        <v>138228478.32</v>
      </c>
      <c r="F110" s="1416">
        <v>3975266.32</v>
      </c>
      <c r="G110" s="1416">
        <v>3066344.03</v>
      </c>
      <c r="H110" s="1416">
        <f>17854318.08+2212878.46</f>
        <v>20067196.54</v>
      </c>
      <c r="I110" s="1416"/>
      <c r="J110" s="1416">
        <v>5355756.65</v>
      </c>
      <c r="K110" s="1417">
        <f>SUM(B110:J110)</f>
        <v>284309192.53</v>
      </c>
      <c r="L110" s="1393"/>
      <c r="M110" s="1396"/>
    </row>
    <row r="111" spans="1:13" s="1395" customFormat="1" ht="12" customHeight="1" hidden="1" thickBot="1">
      <c r="A111" s="1420" t="s">
        <v>665</v>
      </c>
      <c r="B111" s="1421">
        <f aca="true" t="shared" si="26" ref="B111:H111">B108-B110</f>
        <v>0</v>
      </c>
      <c r="C111" s="1421">
        <f t="shared" si="26"/>
        <v>29920210.159999974</v>
      </c>
      <c r="D111" s="1421">
        <f t="shared" si="26"/>
        <v>2402808.9399999976</v>
      </c>
      <c r="E111" s="1421">
        <f t="shared" si="26"/>
        <v>15245548.01000008</v>
      </c>
      <c r="F111" s="1421">
        <f t="shared" si="26"/>
        <v>-282962.06000000564</v>
      </c>
      <c r="G111" s="1421">
        <f t="shared" si="26"/>
        <v>1805704.6700000032</v>
      </c>
      <c r="H111" s="1421">
        <f t="shared" si="26"/>
        <v>-9544851.020000044</v>
      </c>
      <c r="I111" s="1421"/>
      <c r="J111" s="1421">
        <f>J108-J110</f>
        <v>769923.0599999996</v>
      </c>
      <c r="K111" s="1422">
        <f>K108-K110</f>
        <v>426533.60000002384</v>
      </c>
      <c r="L111" s="1393"/>
      <c r="M111" s="1396"/>
    </row>
    <row r="112" spans="1:13" s="1395" customFormat="1" ht="11.25">
      <c r="A112" s="51" t="s">
        <v>165</v>
      </c>
      <c r="B112" s="1393"/>
      <c r="C112" s="1393"/>
      <c r="D112" s="1393"/>
      <c r="E112" s="1393"/>
      <c r="F112" s="1393"/>
      <c r="G112" s="1393"/>
      <c r="H112" s="1393"/>
      <c r="I112" s="1393"/>
      <c r="J112" s="1393"/>
      <c r="K112" s="1393"/>
      <c r="L112" s="1393"/>
      <c r="M112" s="1396"/>
    </row>
    <row r="113" spans="1:13" s="1395" customFormat="1" ht="12" thickBot="1">
      <c r="A113" s="51" t="s">
        <v>1205</v>
      </c>
      <c r="B113" s="1393"/>
      <c r="C113" s="1393"/>
      <c r="D113" s="1393"/>
      <c r="E113" s="1393"/>
      <c r="F113" s="1393"/>
      <c r="G113" s="1393"/>
      <c r="H113" s="1393"/>
      <c r="I113" s="1393"/>
      <c r="J113" s="1393"/>
      <c r="K113" s="1393"/>
      <c r="L113" s="1393"/>
      <c r="M113" s="1396"/>
    </row>
    <row r="114" spans="4:11" s="1392" customFormat="1" ht="10.5">
      <c r="D114" s="1423"/>
      <c r="H114" s="1424"/>
      <c r="I114" s="1425" t="s">
        <v>88</v>
      </c>
      <c r="J114" s="1426"/>
      <c r="K114" s="1427">
        <f>SUM(K115:K116)</f>
        <v>11148628.489999998</v>
      </c>
    </row>
    <row r="115" spans="8:14" s="1392" customFormat="1" ht="10.5">
      <c r="H115" s="1428"/>
      <c r="I115" s="1429" t="s">
        <v>89</v>
      </c>
      <c r="J115" s="1428"/>
      <c r="K115" s="1430">
        <f>SUM('[18]TB'!$D$1124:$D$1127,'[18]TB'!$D$1010:$D$1064)</f>
        <v>10030367.62</v>
      </c>
      <c r="L115" s="1431"/>
      <c r="M115" s="1432"/>
      <c r="N115" s="1432"/>
    </row>
    <row r="116" spans="8:14" s="1392" customFormat="1" ht="10.5">
      <c r="H116" s="1428"/>
      <c r="I116" s="1429" t="s">
        <v>90</v>
      </c>
      <c r="J116" s="1428"/>
      <c r="K116" s="1433">
        <f>SUM('[18]TB'!$D$1450:$D$1497)</f>
        <v>1118260.87</v>
      </c>
      <c r="L116" s="1431"/>
      <c r="M116" s="1434"/>
      <c r="N116" s="1435"/>
    </row>
    <row r="117" spans="8:13" s="1392" customFormat="1" ht="10.5">
      <c r="H117" s="1424"/>
      <c r="I117" s="1436" t="s">
        <v>91</v>
      </c>
      <c r="J117" s="1437"/>
      <c r="K117" s="1438">
        <f>K50</f>
        <v>11404332.92</v>
      </c>
      <c r="L117" s="1431"/>
      <c r="M117" s="1439"/>
    </row>
    <row r="118" spans="8:12" s="1392" customFormat="1" ht="11.25" thickBot="1">
      <c r="H118" s="1440"/>
      <c r="I118" s="1441" t="s">
        <v>928</v>
      </c>
      <c r="J118" s="1442"/>
      <c r="K118" s="1443">
        <f>K114-K117</f>
        <v>-255704.43000000156</v>
      </c>
      <c r="L118" s="1439"/>
    </row>
    <row r="119" spans="5:10" s="1392" customFormat="1" ht="11.25">
      <c r="E119" s="1444"/>
      <c r="J119" s="1391"/>
    </row>
    <row r="120" spans="8:13" s="1392" customFormat="1" ht="10.5">
      <c r="H120" s="1445"/>
      <c r="I120" s="1446" t="s">
        <v>89</v>
      </c>
      <c r="J120" s="1446" t="s">
        <v>90</v>
      </c>
      <c r="K120" s="1446" t="s">
        <v>587</v>
      </c>
      <c r="L120" s="1446" t="s">
        <v>96</v>
      </c>
      <c r="M120" s="1446" t="s">
        <v>97</v>
      </c>
    </row>
    <row r="121" spans="8:15" s="1392" customFormat="1" ht="10.5">
      <c r="H121" s="1447" t="s">
        <v>92</v>
      </c>
      <c r="I121" s="1448">
        <f>SUM('[18]TB'!$D$1010:$D$1064)+SUM('[18]TB'!$D$1124:$D$1127)</f>
        <v>10030367.620000001</v>
      </c>
      <c r="J121" s="1449">
        <f>SUM('[18]TB'!$D$1450:$D$1497)</f>
        <v>1118260.87</v>
      </c>
      <c r="K121" s="1431">
        <f>SUM(I121:J121)</f>
        <v>11148628.490000002</v>
      </c>
      <c r="L121" s="1439">
        <f>K50</f>
        <v>11404332.92</v>
      </c>
      <c r="M121" s="1450">
        <f>L121-K121</f>
        <v>255704.42999999784</v>
      </c>
      <c r="O121" s="1439"/>
    </row>
    <row r="122" spans="8:13" s="1392" customFormat="1" ht="10.5" hidden="1">
      <c r="H122" s="1447" t="s">
        <v>93</v>
      </c>
      <c r="I122" s="1451"/>
      <c r="J122" s="1449"/>
      <c r="K122" s="1431">
        <f>SUM(I122:J122)</f>
        <v>0</v>
      </c>
      <c r="L122" s="1439"/>
      <c r="M122" s="1450">
        <f>L122-K122</f>
        <v>0</v>
      </c>
    </row>
    <row r="123" spans="8:13" s="1392" customFormat="1" ht="10.5" hidden="1">
      <c r="H123" s="1447" t="s">
        <v>94</v>
      </c>
      <c r="I123" s="1451"/>
      <c r="J123" s="1449"/>
      <c r="K123" s="1431">
        <f>SUM(I123:J123)</f>
        <v>0</v>
      </c>
      <c r="L123" s="1439"/>
      <c r="M123" s="1450">
        <f>L123-K123</f>
        <v>0</v>
      </c>
    </row>
    <row r="124" spans="8:13" s="1392" customFormat="1" ht="10.5" hidden="1">
      <c r="H124" s="1447" t="s">
        <v>95</v>
      </c>
      <c r="I124" s="1451"/>
      <c r="J124" s="1449"/>
      <c r="K124" s="1431">
        <f>SUM(I124:J124)</f>
        <v>0</v>
      </c>
      <c r="L124" s="1439"/>
      <c r="M124" s="1450">
        <f>L124-K124</f>
        <v>0</v>
      </c>
    </row>
    <row r="125" spans="8:13" s="1452" customFormat="1" ht="10.5">
      <c r="H125" s="1453" t="s">
        <v>1206</v>
      </c>
      <c r="I125" s="1454">
        <f>SUM(I121:I124)</f>
        <v>10030367.620000001</v>
      </c>
      <c r="J125" s="1455">
        <f>SUM(J121:J124)</f>
        <v>1118260.87</v>
      </c>
      <c r="K125" s="1456">
        <f>SUM(I125:J125)</f>
        <v>11148628.490000002</v>
      </c>
      <c r="L125" s="1457">
        <f>SUM(L121:L124)</f>
        <v>11404332.92</v>
      </c>
      <c r="M125" s="1458">
        <f>L125-K125</f>
        <v>255704.42999999784</v>
      </c>
    </row>
    <row r="126" spans="9:13" s="1392" customFormat="1" ht="10.5">
      <c r="I126" s="1459"/>
      <c r="J126" s="1460"/>
      <c r="K126" s="1461"/>
      <c r="L126" s="1462"/>
      <c r="M126" s="1393"/>
    </row>
    <row r="127" s="1392" customFormat="1" ht="10.5">
      <c r="I127" s="1463" t="s">
        <v>256</v>
      </c>
    </row>
    <row r="128" spans="8:10" s="1392" customFormat="1" ht="10.5">
      <c r="H128" s="1447" t="s">
        <v>92</v>
      </c>
      <c r="I128" s="1390">
        <f>K13</f>
        <v>3190232.79</v>
      </c>
      <c r="J128" s="1431"/>
    </row>
    <row r="129" spans="8:9" s="1392" customFormat="1" ht="10.5" hidden="1">
      <c r="H129" s="1447" t="s">
        <v>93</v>
      </c>
      <c r="I129" s="1390">
        <f>K22</f>
        <v>0</v>
      </c>
    </row>
    <row r="130" spans="8:9" s="1392" customFormat="1" ht="10.5" hidden="1">
      <c r="H130" s="1447" t="s">
        <v>94</v>
      </c>
      <c r="I130" s="1390">
        <f>K30</f>
        <v>0</v>
      </c>
    </row>
    <row r="131" spans="8:9" s="1392" customFormat="1" ht="10.5" hidden="1">
      <c r="H131" s="1447" t="s">
        <v>95</v>
      </c>
      <c r="I131" s="1390">
        <f>K37</f>
        <v>0</v>
      </c>
    </row>
    <row r="132" spans="8:9" s="1392" customFormat="1" ht="10.5">
      <c r="H132" s="1447" t="s">
        <v>587</v>
      </c>
      <c r="I132" s="1393">
        <f>SUM(I128:I131)</f>
        <v>3190232.79</v>
      </c>
    </row>
    <row r="133" s="1392" customFormat="1" ht="10.5">
      <c r="J133" s="1391"/>
    </row>
    <row r="134" s="1392" customFormat="1" ht="10.5">
      <c r="J134" s="1391"/>
    </row>
    <row r="135" s="1392" customFormat="1" ht="10.5">
      <c r="J135" s="1391"/>
    </row>
    <row r="136" s="1392" customFormat="1" ht="10.5">
      <c r="J136" s="1391"/>
    </row>
    <row r="137" s="1392" customFormat="1" ht="10.5">
      <c r="J137" s="1391"/>
    </row>
    <row r="138" s="1392" customFormat="1" ht="10.5">
      <c r="J138" s="1391"/>
    </row>
    <row r="139" s="1392" customFormat="1" ht="10.5">
      <c r="J139" s="1391"/>
    </row>
    <row r="140" s="1392" customFormat="1" ht="10.5">
      <c r="J140" s="1391"/>
    </row>
    <row r="141" s="1392" customFormat="1" ht="10.5">
      <c r="J141" s="1391"/>
    </row>
    <row r="142" s="1392" customFormat="1" ht="10.5">
      <c r="J142" s="1391"/>
    </row>
    <row r="143" s="1392" customFormat="1" ht="10.5">
      <c r="J143" s="1391"/>
    </row>
    <row r="144" s="1392" customFormat="1" ht="10.5">
      <c r="J144" s="1391"/>
    </row>
    <row r="145" s="1392" customFormat="1" ht="10.5">
      <c r="J145" s="1391"/>
    </row>
    <row r="146" s="1392" customFormat="1" ht="10.5">
      <c r="J146" s="1391"/>
    </row>
    <row r="147" s="1392" customFormat="1" ht="10.5">
      <c r="J147" s="1391"/>
    </row>
    <row r="148" s="1392" customFormat="1" ht="10.5">
      <c r="J148" s="1391"/>
    </row>
    <row r="149" s="1392" customFormat="1" ht="10.5">
      <c r="J149" s="1391"/>
    </row>
    <row r="150" s="1392" customFormat="1" ht="10.5">
      <c r="J150" s="1391"/>
    </row>
    <row r="151" s="1392" customFormat="1" ht="10.5">
      <c r="J151" s="1391"/>
    </row>
    <row r="152" s="1392" customFormat="1" ht="10.5">
      <c r="J152" s="1391"/>
    </row>
    <row r="153" s="1392" customFormat="1" ht="10.5">
      <c r="J153" s="1391"/>
    </row>
    <row r="154" s="1392" customFormat="1" ht="10.5">
      <c r="J154" s="1391"/>
    </row>
    <row r="155" s="1392" customFormat="1" ht="10.5">
      <c r="J155" s="1391"/>
    </row>
    <row r="156" s="1392" customFormat="1" ht="10.5">
      <c r="J156" s="1391"/>
    </row>
    <row r="157" s="1392" customFormat="1" ht="10.5">
      <c r="J157" s="1391"/>
    </row>
    <row r="158" s="1392" customFormat="1" ht="10.5">
      <c r="J158" s="1391"/>
    </row>
    <row r="159" s="1392" customFormat="1" ht="10.5">
      <c r="J159" s="1391"/>
    </row>
    <row r="160" s="1392" customFormat="1" ht="10.5">
      <c r="J160" s="1391"/>
    </row>
    <row r="161" s="1392" customFormat="1" ht="10.5">
      <c r="J161" s="1391"/>
    </row>
    <row r="162" s="1392" customFormat="1" ht="10.5">
      <c r="J162" s="1391"/>
    </row>
    <row r="163" s="1392" customFormat="1" ht="10.5">
      <c r="J163" s="1391"/>
    </row>
    <row r="164" s="1392" customFormat="1" ht="10.5">
      <c r="J164" s="1391"/>
    </row>
    <row r="165" s="1392" customFormat="1" ht="10.5">
      <c r="J165" s="1391"/>
    </row>
    <row r="166" s="1392" customFormat="1" ht="10.5">
      <c r="J166" s="1391"/>
    </row>
    <row r="167" s="1392" customFormat="1" ht="10.5">
      <c r="J167" s="1391"/>
    </row>
    <row r="168" s="1392" customFormat="1" ht="10.5">
      <c r="J168" s="1391"/>
    </row>
    <row r="169" s="1392" customFormat="1" ht="10.5">
      <c r="J169" s="1391"/>
    </row>
    <row r="170" s="1392" customFormat="1" ht="10.5">
      <c r="J170" s="1391"/>
    </row>
    <row r="171" s="1392" customFormat="1" ht="10.5">
      <c r="J171" s="1391"/>
    </row>
    <row r="172" s="1392" customFormat="1" ht="10.5">
      <c r="J172" s="1391"/>
    </row>
    <row r="173" s="1392" customFormat="1" ht="10.5">
      <c r="J173" s="1391"/>
    </row>
    <row r="174" s="1392" customFormat="1" ht="10.5">
      <c r="J174" s="1391"/>
    </row>
    <row r="175" s="1392" customFormat="1" ht="10.5">
      <c r="J175" s="1391"/>
    </row>
    <row r="176" s="1392" customFormat="1" ht="10.5">
      <c r="J176" s="1391"/>
    </row>
    <row r="177" s="1392" customFormat="1" ht="10.5">
      <c r="J177" s="1391"/>
    </row>
    <row r="178" s="1" customFormat="1" ht="11.25">
      <c r="J178" s="4"/>
    </row>
    <row r="179" s="1" customFormat="1" ht="11.25">
      <c r="J179" s="4"/>
    </row>
    <row r="180" s="1" customFormat="1" ht="11.25">
      <c r="J180" s="4"/>
    </row>
    <row r="181" s="1" customFormat="1" ht="11.25">
      <c r="J181" s="4"/>
    </row>
    <row r="182" s="1" customFormat="1" ht="11.25">
      <c r="J182" s="4"/>
    </row>
    <row r="183" s="1" customFormat="1" ht="11.25">
      <c r="J183" s="4"/>
    </row>
    <row r="184" s="1" customFormat="1" ht="11.25">
      <c r="J184" s="4"/>
    </row>
    <row r="185" s="1" customFormat="1" ht="11.25">
      <c r="J185" s="4"/>
    </row>
    <row r="186" s="1" customFormat="1" ht="11.25">
      <c r="J186" s="4"/>
    </row>
    <row r="187" s="1" customFormat="1" ht="11.25">
      <c r="J187" s="4"/>
    </row>
    <row r="188" s="1" customFormat="1" ht="11.25">
      <c r="J188" s="4"/>
    </row>
    <row r="189" s="1" customFormat="1" ht="11.25">
      <c r="J189" s="4"/>
    </row>
    <row r="190" s="1" customFormat="1" ht="11.25">
      <c r="J190" s="4"/>
    </row>
    <row r="191" s="1" customFormat="1" ht="11.25">
      <c r="J191" s="4"/>
    </row>
    <row r="192" s="1" customFormat="1" ht="11.25">
      <c r="J192" s="4"/>
    </row>
    <row r="193" s="1" customFormat="1" ht="11.25">
      <c r="J193" s="4"/>
    </row>
    <row r="194" s="1" customFormat="1" ht="11.25">
      <c r="J194" s="4"/>
    </row>
    <row r="195" s="1" customFormat="1" ht="11.25">
      <c r="J195" s="4"/>
    </row>
    <row r="196" s="1" customFormat="1" ht="11.25">
      <c r="J196" s="4"/>
    </row>
    <row r="197" s="1" customFormat="1" ht="11.25">
      <c r="J197" s="4"/>
    </row>
    <row r="198" s="1" customFormat="1" ht="11.25">
      <c r="J198" s="4"/>
    </row>
    <row r="199" s="1" customFormat="1" ht="11.25">
      <c r="J199" s="4"/>
    </row>
    <row r="200" s="1" customFormat="1" ht="11.25">
      <c r="J200" s="4"/>
    </row>
    <row r="201" s="1" customFormat="1" ht="11.25">
      <c r="J201" s="4"/>
    </row>
    <row r="202" s="1" customFormat="1" ht="11.25">
      <c r="J202" s="4"/>
    </row>
    <row r="203" s="1" customFormat="1" ht="11.25">
      <c r="J203" s="4"/>
    </row>
    <row r="204" s="1" customFormat="1" ht="11.25">
      <c r="J204" s="4"/>
    </row>
    <row r="205" s="1" customFormat="1" ht="11.25">
      <c r="J205" s="4"/>
    </row>
    <row r="206" s="1" customFormat="1" ht="11.25">
      <c r="J206" s="4"/>
    </row>
    <row r="207" s="1" customFormat="1" ht="11.25">
      <c r="J207" s="4"/>
    </row>
    <row r="208" s="1" customFormat="1" ht="11.25">
      <c r="J208" s="4"/>
    </row>
    <row r="209" s="1" customFormat="1" ht="11.25">
      <c r="J209" s="4"/>
    </row>
    <row r="210" s="1" customFormat="1" ht="11.25">
      <c r="J210" s="4"/>
    </row>
    <row r="211" s="1" customFormat="1" ht="11.25">
      <c r="J211" s="4"/>
    </row>
    <row r="212" s="1" customFormat="1" ht="11.25">
      <c r="J212" s="4"/>
    </row>
    <row r="213" s="1" customFormat="1" ht="11.25">
      <c r="J213" s="4"/>
    </row>
    <row r="214" s="1" customFormat="1" ht="11.25">
      <c r="J214" s="4"/>
    </row>
    <row r="215" s="1" customFormat="1" ht="11.25">
      <c r="J215" s="4"/>
    </row>
    <row r="216" s="1" customFormat="1" ht="11.25">
      <c r="J216" s="4"/>
    </row>
    <row r="217" s="1" customFormat="1" ht="11.25">
      <c r="J217" s="4"/>
    </row>
    <row r="218" s="1" customFormat="1" ht="11.25">
      <c r="J218" s="4"/>
    </row>
    <row r="219" s="1" customFormat="1" ht="11.25">
      <c r="J219" s="4"/>
    </row>
    <row r="220" s="1" customFormat="1" ht="11.25">
      <c r="J220" s="4"/>
    </row>
    <row r="221" s="1" customFormat="1" ht="11.25">
      <c r="J221" s="4"/>
    </row>
    <row r="222" s="1" customFormat="1" ht="11.25">
      <c r="J222" s="4"/>
    </row>
    <row r="223" s="1" customFormat="1" ht="11.25">
      <c r="J223" s="4"/>
    </row>
    <row r="224" s="1" customFormat="1" ht="11.25">
      <c r="J224" s="4"/>
    </row>
    <row r="225" s="1" customFormat="1" ht="11.25">
      <c r="J225" s="4"/>
    </row>
    <row r="226" s="1" customFormat="1" ht="11.25">
      <c r="J226" s="4"/>
    </row>
    <row r="227" s="1" customFormat="1" ht="11.25">
      <c r="J227" s="4"/>
    </row>
    <row r="228" s="1" customFormat="1" ht="11.25">
      <c r="J228" s="4"/>
    </row>
    <row r="229" s="1" customFormat="1" ht="11.25">
      <c r="J229" s="4"/>
    </row>
    <row r="230" s="1" customFormat="1" ht="11.25">
      <c r="J230" s="4"/>
    </row>
    <row r="231" s="1" customFormat="1" ht="11.25">
      <c r="J231" s="4"/>
    </row>
    <row r="232" s="1" customFormat="1" ht="11.25">
      <c r="J232" s="4"/>
    </row>
    <row r="233" s="1" customFormat="1" ht="11.25">
      <c r="J233" s="4"/>
    </row>
    <row r="234" s="1" customFormat="1" ht="11.25">
      <c r="J234" s="4"/>
    </row>
    <row r="235" s="1" customFormat="1" ht="11.25">
      <c r="J235" s="4"/>
    </row>
    <row r="236" s="1" customFormat="1" ht="11.25">
      <c r="J236" s="4"/>
    </row>
    <row r="237" s="1" customFormat="1" ht="11.25">
      <c r="J237" s="4"/>
    </row>
    <row r="238" s="1" customFormat="1" ht="11.25">
      <c r="J238" s="4"/>
    </row>
    <row r="239" s="1" customFormat="1" ht="11.25">
      <c r="J239" s="4"/>
    </row>
    <row r="240" s="1" customFormat="1" ht="11.25">
      <c r="J240" s="4"/>
    </row>
    <row r="241" s="1" customFormat="1" ht="11.25">
      <c r="J241" s="4"/>
    </row>
    <row r="242" s="1" customFormat="1" ht="11.25">
      <c r="J242" s="4"/>
    </row>
    <row r="243" s="1" customFormat="1" ht="11.25">
      <c r="J243" s="4"/>
    </row>
    <row r="244" s="1" customFormat="1" ht="11.25">
      <c r="J244" s="4"/>
    </row>
    <row r="245" s="1" customFormat="1" ht="11.25">
      <c r="J245" s="4"/>
    </row>
    <row r="246" s="1" customFormat="1" ht="11.25">
      <c r="J246" s="4"/>
    </row>
    <row r="247" s="1" customFormat="1" ht="11.25">
      <c r="J247" s="4"/>
    </row>
    <row r="248" s="1" customFormat="1" ht="11.25">
      <c r="J248" s="4"/>
    </row>
    <row r="249" s="1" customFormat="1" ht="11.25">
      <c r="J249" s="4"/>
    </row>
    <row r="250" s="1" customFormat="1" ht="11.25">
      <c r="J250" s="4"/>
    </row>
    <row r="251" s="1" customFormat="1" ht="11.25">
      <c r="J251" s="4"/>
    </row>
    <row r="252" s="1" customFormat="1" ht="11.25">
      <c r="J252" s="4"/>
    </row>
    <row r="253" s="1" customFormat="1" ht="11.25">
      <c r="J253" s="4"/>
    </row>
    <row r="254" s="1" customFormat="1" ht="11.25">
      <c r="J254" s="4"/>
    </row>
    <row r="255" s="1" customFormat="1" ht="11.25">
      <c r="J255" s="4"/>
    </row>
    <row r="256" s="1" customFormat="1" ht="11.25">
      <c r="J256" s="4"/>
    </row>
    <row r="257" s="1" customFormat="1" ht="11.25">
      <c r="J257" s="4"/>
    </row>
    <row r="258" s="1" customFormat="1" ht="11.25">
      <c r="J258" s="4"/>
    </row>
    <row r="259" s="1" customFormat="1" ht="11.25">
      <c r="J259" s="4"/>
    </row>
    <row r="260" s="1" customFormat="1" ht="11.25">
      <c r="J260" s="4"/>
    </row>
    <row r="261" s="1" customFormat="1" ht="11.25">
      <c r="J261" s="4"/>
    </row>
    <row r="262" s="1" customFormat="1" ht="11.25">
      <c r="J262" s="4"/>
    </row>
    <row r="263" s="1" customFormat="1" ht="11.25">
      <c r="J263" s="4"/>
    </row>
    <row r="264" s="1" customFormat="1" ht="11.25">
      <c r="J264" s="4"/>
    </row>
    <row r="265" s="1" customFormat="1" ht="11.25">
      <c r="J265" s="4"/>
    </row>
    <row r="266" s="1" customFormat="1" ht="11.25">
      <c r="J266" s="4"/>
    </row>
    <row r="267" s="1" customFormat="1" ht="11.25">
      <c r="J267" s="4"/>
    </row>
    <row r="268" s="1" customFormat="1" ht="11.25">
      <c r="J268" s="4"/>
    </row>
    <row r="269" s="1" customFormat="1" ht="11.25">
      <c r="J269" s="4"/>
    </row>
    <row r="270" s="1" customFormat="1" ht="11.25">
      <c r="J270" s="4"/>
    </row>
    <row r="271" s="1" customFormat="1" ht="11.25">
      <c r="J271" s="4"/>
    </row>
    <row r="272" s="1" customFormat="1" ht="11.25">
      <c r="J272" s="4"/>
    </row>
    <row r="273" s="1" customFormat="1" ht="11.25">
      <c r="J273" s="4"/>
    </row>
    <row r="274" s="1" customFormat="1" ht="11.25">
      <c r="J274" s="4"/>
    </row>
    <row r="275" s="1" customFormat="1" ht="11.25">
      <c r="J275" s="4"/>
    </row>
    <row r="276" s="1" customFormat="1" ht="11.25">
      <c r="J276" s="4"/>
    </row>
    <row r="277" s="1" customFormat="1" ht="11.25">
      <c r="J277" s="4"/>
    </row>
    <row r="278" s="1" customFormat="1" ht="11.25">
      <c r="J278" s="4"/>
    </row>
    <row r="279" s="1" customFormat="1" ht="11.25">
      <c r="J279" s="4"/>
    </row>
    <row r="280" s="1" customFormat="1" ht="11.25">
      <c r="J280" s="4"/>
    </row>
    <row r="281" s="1" customFormat="1" ht="11.25">
      <c r="J281" s="4"/>
    </row>
    <row r="282" s="1" customFormat="1" ht="11.25">
      <c r="J282" s="4"/>
    </row>
    <row r="283" s="1" customFormat="1" ht="11.25">
      <c r="J283" s="4"/>
    </row>
    <row r="284" s="1" customFormat="1" ht="11.25">
      <c r="J284" s="4"/>
    </row>
    <row r="285" s="1" customFormat="1" ht="11.25">
      <c r="J285" s="4"/>
    </row>
    <row r="286" s="1" customFormat="1" ht="11.25">
      <c r="J286" s="4"/>
    </row>
    <row r="287" s="1" customFormat="1" ht="11.25">
      <c r="J287" s="4"/>
    </row>
    <row r="288" s="1" customFormat="1" ht="11.25">
      <c r="J288" s="4"/>
    </row>
    <row r="289" s="1" customFormat="1" ht="11.25">
      <c r="J289" s="4"/>
    </row>
    <row r="290" s="1" customFormat="1" ht="11.25">
      <c r="J290" s="4"/>
    </row>
    <row r="291" s="1" customFormat="1" ht="11.25">
      <c r="J291" s="4"/>
    </row>
    <row r="292" s="1" customFormat="1" ht="11.25">
      <c r="J292" s="4"/>
    </row>
    <row r="293" s="1" customFormat="1" ht="11.25">
      <c r="J293" s="4"/>
    </row>
    <row r="294" s="1" customFormat="1" ht="11.25">
      <c r="J294" s="4"/>
    </row>
    <row r="295" s="1" customFormat="1" ht="11.25">
      <c r="J295" s="4"/>
    </row>
    <row r="296" s="1" customFormat="1" ht="11.25">
      <c r="J296" s="4"/>
    </row>
    <row r="297" s="1" customFormat="1" ht="11.25">
      <c r="J297" s="4"/>
    </row>
    <row r="298" s="1" customFormat="1" ht="11.25">
      <c r="J298" s="4"/>
    </row>
    <row r="299" s="1" customFormat="1" ht="11.25">
      <c r="J299" s="4"/>
    </row>
    <row r="300" s="1" customFormat="1" ht="11.25">
      <c r="J300" s="4"/>
    </row>
    <row r="301" s="1" customFormat="1" ht="11.25">
      <c r="J301" s="4"/>
    </row>
    <row r="302" s="1" customFormat="1" ht="11.25">
      <c r="J302" s="4"/>
    </row>
    <row r="303" s="1" customFormat="1" ht="11.25">
      <c r="J303" s="4"/>
    </row>
    <row r="304" s="1" customFormat="1" ht="11.25">
      <c r="J304" s="4"/>
    </row>
    <row r="305" s="1" customFormat="1" ht="11.25">
      <c r="J305" s="4"/>
    </row>
    <row r="306" s="1" customFormat="1" ht="11.25">
      <c r="J306" s="4"/>
    </row>
    <row r="307" s="1" customFormat="1" ht="11.25">
      <c r="J307" s="4"/>
    </row>
    <row r="308" s="1" customFormat="1" ht="11.25">
      <c r="J308" s="4"/>
    </row>
    <row r="309" s="1" customFormat="1" ht="11.25">
      <c r="J309" s="4"/>
    </row>
    <row r="310" s="1" customFormat="1" ht="11.25">
      <c r="J310" s="4"/>
    </row>
    <row r="311" s="1" customFormat="1" ht="11.25">
      <c r="J311" s="4"/>
    </row>
    <row r="312" s="1" customFormat="1" ht="11.25">
      <c r="J312" s="4"/>
    </row>
    <row r="313" s="1" customFormat="1" ht="11.25">
      <c r="J313" s="4"/>
    </row>
    <row r="314" s="1" customFormat="1" ht="11.25">
      <c r="J314" s="4"/>
    </row>
    <row r="315" s="1" customFormat="1" ht="11.25">
      <c r="J315" s="4"/>
    </row>
    <row r="316" s="1" customFormat="1" ht="11.25">
      <c r="J316" s="4"/>
    </row>
    <row r="317" s="1" customFormat="1" ht="11.25">
      <c r="J317" s="4"/>
    </row>
    <row r="318" s="1" customFormat="1" ht="11.25">
      <c r="J318" s="4"/>
    </row>
    <row r="319" s="1" customFormat="1" ht="11.25">
      <c r="J319" s="4"/>
    </row>
    <row r="320" s="1" customFormat="1" ht="11.25">
      <c r="J320" s="4"/>
    </row>
    <row r="321" s="1" customFormat="1" ht="11.25">
      <c r="J321" s="4"/>
    </row>
    <row r="322" s="1" customFormat="1" ht="11.25">
      <c r="J322" s="4"/>
    </row>
    <row r="323" s="1" customFormat="1" ht="11.25">
      <c r="J323" s="4"/>
    </row>
    <row r="324" s="1" customFormat="1" ht="11.25">
      <c r="J324" s="4"/>
    </row>
    <row r="325" s="1" customFormat="1" ht="11.25">
      <c r="J325" s="4"/>
    </row>
    <row r="326" s="1" customFormat="1" ht="11.25">
      <c r="J326" s="4"/>
    </row>
    <row r="327" s="1" customFormat="1" ht="11.25">
      <c r="J327" s="4"/>
    </row>
    <row r="328" s="1" customFormat="1" ht="11.25">
      <c r="J328" s="4"/>
    </row>
    <row r="329" s="1" customFormat="1" ht="11.25">
      <c r="J329" s="4"/>
    </row>
    <row r="330" s="1" customFormat="1" ht="11.25">
      <c r="J330" s="4"/>
    </row>
    <row r="331" s="1" customFormat="1" ht="11.25">
      <c r="J331" s="4"/>
    </row>
    <row r="332" s="1" customFormat="1" ht="11.25">
      <c r="J332" s="4"/>
    </row>
    <row r="333" s="1" customFormat="1" ht="11.25">
      <c r="J333" s="4"/>
    </row>
    <row r="334" s="1" customFormat="1" ht="11.25">
      <c r="J334" s="4"/>
    </row>
    <row r="335" s="1" customFormat="1" ht="11.25">
      <c r="J335" s="4"/>
    </row>
    <row r="336" s="1" customFormat="1" ht="11.25">
      <c r="J336" s="4"/>
    </row>
    <row r="337" s="1" customFormat="1" ht="11.25">
      <c r="J337" s="4"/>
    </row>
    <row r="338" s="1" customFormat="1" ht="11.25">
      <c r="J338" s="4"/>
    </row>
    <row r="339" s="1" customFormat="1" ht="11.25">
      <c r="J339" s="4"/>
    </row>
    <row r="340" s="1" customFormat="1" ht="11.25">
      <c r="J340" s="4"/>
    </row>
    <row r="341" s="1" customFormat="1" ht="11.25">
      <c r="J341" s="4"/>
    </row>
    <row r="342" s="1" customFormat="1" ht="11.25">
      <c r="J342" s="4"/>
    </row>
    <row r="343" s="1" customFormat="1" ht="11.25">
      <c r="J343" s="4"/>
    </row>
    <row r="344" s="1" customFormat="1" ht="11.25">
      <c r="J344" s="4"/>
    </row>
    <row r="345" s="1" customFormat="1" ht="11.25">
      <c r="J345" s="4"/>
    </row>
    <row r="346" s="1" customFormat="1" ht="11.25">
      <c r="J346" s="4"/>
    </row>
    <row r="347" s="1" customFormat="1" ht="11.25">
      <c r="J347" s="4"/>
    </row>
    <row r="348" s="1" customFormat="1" ht="11.25">
      <c r="J348" s="4"/>
    </row>
    <row r="349" s="1" customFormat="1" ht="11.25">
      <c r="J349" s="4"/>
    </row>
    <row r="350" s="1" customFormat="1" ht="11.25">
      <c r="J350" s="4"/>
    </row>
    <row r="351" s="1" customFormat="1" ht="11.25">
      <c r="J351" s="4"/>
    </row>
    <row r="352" s="1" customFormat="1" ht="11.25">
      <c r="J352" s="4"/>
    </row>
    <row r="353" s="1" customFormat="1" ht="11.25">
      <c r="J353" s="4"/>
    </row>
    <row r="354" s="1" customFormat="1" ht="11.25">
      <c r="J354" s="4"/>
    </row>
    <row r="355" s="1" customFormat="1" ht="11.25">
      <c r="J355" s="4"/>
    </row>
    <row r="356" s="1" customFormat="1" ht="11.25">
      <c r="J356" s="4"/>
    </row>
    <row r="357" s="1" customFormat="1" ht="11.25">
      <c r="J357" s="4"/>
    </row>
    <row r="358" s="1" customFormat="1" ht="11.25">
      <c r="J358" s="4"/>
    </row>
    <row r="359" s="1" customFormat="1" ht="11.25">
      <c r="J359" s="4"/>
    </row>
    <row r="360" s="1" customFormat="1" ht="11.25">
      <c r="J360" s="4"/>
    </row>
    <row r="361" s="1" customFormat="1" ht="11.25">
      <c r="J361" s="4"/>
    </row>
    <row r="362" s="1" customFormat="1" ht="11.25">
      <c r="J362" s="4"/>
    </row>
    <row r="363" s="1" customFormat="1" ht="11.25">
      <c r="J363" s="4"/>
    </row>
    <row r="364" s="1" customFormat="1" ht="11.25">
      <c r="J364" s="4"/>
    </row>
    <row r="365" s="1" customFormat="1" ht="11.25">
      <c r="J365" s="4"/>
    </row>
    <row r="366" s="1" customFormat="1" ht="11.25">
      <c r="J366" s="4"/>
    </row>
    <row r="367" s="1" customFormat="1" ht="11.25">
      <c r="J367" s="4"/>
    </row>
    <row r="368" s="1" customFormat="1" ht="11.25">
      <c r="J368" s="4"/>
    </row>
    <row r="369" s="1" customFormat="1" ht="11.25">
      <c r="J369" s="4"/>
    </row>
    <row r="370" s="1" customFormat="1" ht="11.25">
      <c r="J370" s="4"/>
    </row>
    <row r="371" s="1" customFormat="1" ht="11.25">
      <c r="J371" s="4"/>
    </row>
    <row r="372" s="1" customFormat="1" ht="11.25">
      <c r="J372" s="4"/>
    </row>
    <row r="373" s="1" customFormat="1" ht="11.25">
      <c r="J373" s="4"/>
    </row>
    <row r="374" s="1" customFormat="1" ht="11.25">
      <c r="J374" s="4"/>
    </row>
    <row r="375" s="1" customFormat="1" ht="11.25">
      <c r="J375" s="4"/>
    </row>
    <row r="376" s="1" customFormat="1" ht="11.25">
      <c r="J376" s="4"/>
    </row>
    <row r="377" s="1" customFormat="1" ht="11.25">
      <c r="J377" s="4"/>
    </row>
    <row r="378" s="1" customFormat="1" ht="11.25">
      <c r="J378" s="4"/>
    </row>
    <row r="379" s="1" customFormat="1" ht="11.25">
      <c r="J379" s="4"/>
    </row>
    <row r="380" s="1" customFormat="1" ht="11.25">
      <c r="J380" s="4"/>
    </row>
    <row r="381" s="1" customFormat="1" ht="11.25">
      <c r="J381" s="4"/>
    </row>
    <row r="382" s="1" customFormat="1" ht="11.25">
      <c r="J382" s="4"/>
    </row>
    <row r="383" s="1" customFormat="1" ht="11.25">
      <c r="J383" s="4"/>
    </row>
    <row r="384" s="1" customFormat="1" ht="11.25">
      <c r="J384" s="4"/>
    </row>
    <row r="385" s="1" customFormat="1" ht="11.25">
      <c r="J385" s="4"/>
    </row>
    <row r="386" s="1" customFormat="1" ht="11.25">
      <c r="J386" s="4"/>
    </row>
    <row r="387" s="1" customFormat="1" ht="11.25">
      <c r="J387" s="4"/>
    </row>
    <row r="388" s="1" customFormat="1" ht="11.25">
      <c r="J388" s="4"/>
    </row>
    <row r="389" s="1" customFormat="1" ht="11.25">
      <c r="J389" s="4"/>
    </row>
    <row r="390" s="1" customFormat="1" ht="11.25">
      <c r="J390" s="4"/>
    </row>
    <row r="391" s="1" customFormat="1" ht="11.25">
      <c r="J391" s="4"/>
    </row>
    <row r="392" s="1" customFormat="1" ht="11.25">
      <c r="J392" s="4"/>
    </row>
    <row r="393" s="1" customFormat="1" ht="11.25">
      <c r="J393" s="4"/>
    </row>
    <row r="394" s="1" customFormat="1" ht="11.25">
      <c r="J394" s="4"/>
    </row>
    <row r="395" s="1" customFormat="1" ht="11.25">
      <c r="J395" s="4"/>
    </row>
    <row r="396" s="1" customFormat="1" ht="11.25">
      <c r="J396" s="4"/>
    </row>
    <row r="397" s="1" customFormat="1" ht="11.25">
      <c r="J397" s="4"/>
    </row>
    <row r="398" s="1" customFormat="1" ht="11.25">
      <c r="J398" s="4"/>
    </row>
    <row r="399" s="1" customFormat="1" ht="11.25">
      <c r="J399" s="4"/>
    </row>
    <row r="400" s="1" customFormat="1" ht="11.25">
      <c r="J400" s="4"/>
    </row>
    <row r="401" s="1" customFormat="1" ht="11.25">
      <c r="J401" s="4"/>
    </row>
    <row r="402" s="1" customFormat="1" ht="11.25">
      <c r="J402" s="4"/>
    </row>
    <row r="403" s="1" customFormat="1" ht="11.25">
      <c r="J403" s="4"/>
    </row>
    <row r="404" s="1" customFormat="1" ht="11.25">
      <c r="J404" s="4"/>
    </row>
    <row r="405" s="1" customFormat="1" ht="11.25">
      <c r="J405" s="4"/>
    </row>
    <row r="406" s="1" customFormat="1" ht="11.25">
      <c r="J406" s="4"/>
    </row>
    <row r="407" s="1" customFormat="1" ht="11.25">
      <c r="J407" s="4"/>
    </row>
    <row r="408" s="1" customFormat="1" ht="11.25">
      <c r="J408" s="4"/>
    </row>
    <row r="409" s="1" customFormat="1" ht="11.25">
      <c r="J409" s="4"/>
    </row>
    <row r="410" s="1" customFormat="1" ht="11.25">
      <c r="J410" s="4"/>
    </row>
    <row r="411" s="1" customFormat="1" ht="11.25">
      <c r="J411" s="4"/>
    </row>
    <row r="412" s="1" customFormat="1" ht="11.25">
      <c r="J412" s="4"/>
    </row>
    <row r="413" s="1" customFormat="1" ht="11.25">
      <c r="J413" s="4"/>
    </row>
    <row r="414" s="1" customFormat="1" ht="11.25">
      <c r="J414" s="4"/>
    </row>
    <row r="415" s="1" customFormat="1" ht="11.25">
      <c r="J415" s="4"/>
    </row>
    <row r="416" s="1" customFormat="1" ht="11.25">
      <c r="J416" s="4"/>
    </row>
    <row r="417" s="1" customFormat="1" ht="11.25">
      <c r="J417" s="4"/>
    </row>
    <row r="418" s="1" customFormat="1" ht="11.25">
      <c r="J418" s="4"/>
    </row>
    <row r="419" s="1" customFormat="1" ht="11.25">
      <c r="J419" s="4"/>
    </row>
    <row r="420" s="1" customFormat="1" ht="11.25">
      <c r="J420" s="4"/>
    </row>
    <row r="421" s="1" customFormat="1" ht="11.25">
      <c r="J421" s="4"/>
    </row>
    <row r="422" s="1" customFormat="1" ht="11.25">
      <c r="J422" s="4"/>
    </row>
    <row r="423" s="1" customFormat="1" ht="11.25">
      <c r="J423" s="4"/>
    </row>
    <row r="424" s="1" customFormat="1" ht="11.25">
      <c r="J424" s="4"/>
    </row>
    <row r="425" s="1" customFormat="1" ht="11.25">
      <c r="J425" s="4"/>
    </row>
    <row r="426" s="1" customFormat="1" ht="11.25">
      <c r="J426" s="4"/>
    </row>
    <row r="427" s="1" customFormat="1" ht="11.25">
      <c r="J427" s="4"/>
    </row>
    <row r="428" s="1" customFormat="1" ht="11.25">
      <c r="J428" s="4"/>
    </row>
    <row r="429" s="1" customFormat="1" ht="11.25">
      <c r="J429" s="4"/>
    </row>
    <row r="430" s="1" customFormat="1" ht="11.25">
      <c r="J430" s="4"/>
    </row>
    <row r="431" s="1" customFormat="1" ht="11.25">
      <c r="J431" s="4"/>
    </row>
    <row r="432" s="1" customFormat="1" ht="11.25">
      <c r="J432" s="4"/>
    </row>
    <row r="433" s="1" customFormat="1" ht="11.25">
      <c r="J433" s="4"/>
    </row>
    <row r="434" s="1" customFormat="1" ht="11.25">
      <c r="J434" s="4"/>
    </row>
    <row r="435" s="1" customFormat="1" ht="11.25">
      <c r="J435" s="4"/>
    </row>
    <row r="436" s="1" customFormat="1" ht="11.25">
      <c r="J436" s="4"/>
    </row>
    <row r="437" s="1" customFormat="1" ht="11.25">
      <c r="J437" s="4"/>
    </row>
    <row r="438" s="1" customFormat="1" ht="11.25">
      <c r="J438" s="4"/>
    </row>
    <row r="439" s="1" customFormat="1" ht="11.25">
      <c r="J439" s="4"/>
    </row>
    <row r="440" s="1" customFormat="1" ht="11.25">
      <c r="J440" s="4"/>
    </row>
    <row r="441" s="1" customFormat="1" ht="11.25">
      <c r="J441" s="4"/>
    </row>
    <row r="442" s="1" customFormat="1" ht="11.25">
      <c r="J442" s="4"/>
    </row>
    <row r="443" s="1" customFormat="1" ht="11.25">
      <c r="J443" s="4"/>
    </row>
    <row r="444" s="1" customFormat="1" ht="11.25">
      <c r="J444" s="4"/>
    </row>
    <row r="445" s="1" customFormat="1" ht="11.25">
      <c r="J445" s="4"/>
    </row>
    <row r="446" s="1" customFormat="1" ht="11.25">
      <c r="J446" s="4"/>
    </row>
    <row r="447" s="1" customFormat="1" ht="11.25">
      <c r="J447" s="4"/>
    </row>
    <row r="448" s="1" customFormat="1" ht="11.25">
      <c r="J448" s="4"/>
    </row>
    <row r="449" s="1" customFormat="1" ht="11.25">
      <c r="J449" s="4"/>
    </row>
    <row r="450" s="1" customFormat="1" ht="11.25">
      <c r="J450" s="4"/>
    </row>
    <row r="451" s="1" customFormat="1" ht="11.25">
      <c r="J451" s="4"/>
    </row>
    <row r="452" s="1" customFormat="1" ht="11.25">
      <c r="J452" s="4"/>
    </row>
    <row r="453" s="1" customFormat="1" ht="11.25">
      <c r="J453" s="4"/>
    </row>
    <row r="454" s="1" customFormat="1" ht="11.25">
      <c r="J454" s="4"/>
    </row>
    <row r="455" s="1" customFormat="1" ht="11.25">
      <c r="J455" s="4"/>
    </row>
    <row r="456" s="1" customFormat="1" ht="11.25">
      <c r="J456" s="4"/>
    </row>
    <row r="457" s="1" customFormat="1" ht="11.25">
      <c r="J457" s="4"/>
    </row>
    <row r="458" s="1" customFormat="1" ht="11.25">
      <c r="J458" s="4"/>
    </row>
    <row r="459" s="1" customFormat="1" ht="11.25">
      <c r="J459" s="4"/>
    </row>
    <row r="460" s="1" customFormat="1" ht="11.25">
      <c r="J460" s="4"/>
    </row>
    <row r="461" s="1" customFormat="1" ht="11.25">
      <c r="J461" s="4"/>
    </row>
    <row r="462" s="1" customFormat="1" ht="11.25">
      <c r="J462" s="4"/>
    </row>
    <row r="463" s="1" customFormat="1" ht="11.25">
      <c r="J463" s="4"/>
    </row>
    <row r="464" s="1" customFormat="1" ht="11.25">
      <c r="J464" s="4"/>
    </row>
    <row r="465" s="1" customFormat="1" ht="11.25">
      <c r="J465" s="4"/>
    </row>
    <row r="466" s="1" customFormat="1" ht="11.25">
      <c r="J466" s="4"/>
    </row>
    <row r="467" s="1" customFormat="1" ht="11.25">
      <c r="J467" s="4"/>
    </row>
    <row r="468" s="1" customFormat="1" ht="11.25">
      <c r="J468" s="4"/>
    </row>
    <row r="469" s="1" customFormat="1" ht="11.25">
      <c r="J469" s="4"/>
    </row>
    <row r="470" s="1" customFormat="1" ht="11.25">
      <c r="J470" s="4"/>
    </row>
    <row r="471" s="1" customFormat="1" ht="11.25">
      <c r="J471" s="4"/>
    </row>
    <row r="472" s="1" customFormat="1" ht="11.25">
      <c r="J472" s="4"/>
    </row>
    <row r="473" s="1" customFormat="1" ht="11.25">
      <c r="J473" s="4"/>
    </row>
    <row r="474" s="1" customFormat="1" ht="11.25">
      <c r="J474" s="4"/>
    </row>
    <row r="475" s="1" customFormat="1" ht="11.25">
      <c r="J475" s="4"/>
    </row>
    <row r="476" s="1" customFormat="1" ht="11.25">
      <c r="J476" s="4"/>
    </row>
    <row r="477" s="1" customFormat="1" ht="11.25">
      <c r="J477" s="4"/>
    </row>
    <row r="478" s="1" customFormat="1" ht="11.25">
      <c r="J478" s="4"/>
    </row>
    <row r="479" s="1" customFormat="1" ht="11.25">
      <c r="J479" s="4"/>
    </row>
    <row r="480" s="1" customFormat="1" ht="11.25">
      <c r="J480" s="4"/>
    </row>
    <row r="481" s="1" customFormat="1" ht="11.25">
      <c r="J481" s="4"/>
    </row>
    <row r="482" s="1" customFormat="1" ht="11.25">
      <c r="J482" s="4"/>
    </row>
    <row r="483" s="1" customFormat="1" ht="11.25">
      <c r="J483" s="4"/>
    </row>
    <row r="484" s="1" customFormat="1" ht="11.25">
      <c r="J484" s="4"/>
    </row>
    <row r="485" s="1" customFormat="1" ht="11.25">
      <c r="J485" s="4"/>
    </row>
    <row r="486" s="1" customFormat="1" ht="11.25">
      <c r="J486" s="4"/>
    </row>
    <row r="487" s="1" customFormat="1" ht="11.25">
      <c r="J487" s="4"/>
    </row>
    <row r="488" s="1" customFormat="1" ht="11.25">
      <c r="J488" s="4"/>
    </row>
    <row r="489" s="1" customFormat="1" ht="11.25">
      <c r="J489" s="4"/>
    </row>
    <row r="490" s="1" customFormat="1" ht="11.25">
      <c r="J490" s="4"/>
    </row>
    <row r="491" s="1" customFormat="1" ht="11.25">
      <c r="J491" s="4"/>
    </row>
    <row r="492" s="1" customFormat="1" ht="11.25">
      <c r="J492" s="4"/>
    </row>
    <row r="493" s="1" customFormat="1" ht="11.25">
      <c r="J493" s="4"/>
    </row>
    <row r="494" s="1" customFormat="1" ht="11.25">
      <c r="J494" s="4"/>
    </row>
    <row r="495" s="1" customFormat="1" ht="11.25">
      <c r="J495" s="4"/>
    </row>
    <row r="496" s="1" customFormat="1" ht="11.25">
      <c r="J496" s="4"/>
    </row>
    <row r="497" s="1" customFormat="1" ht="11.25">
      <c r="J497" s="4"/>
    </row>
    <row r="498" s="1" customFormat="1" ht="11.25">
      <c r="J498" s="4"/>
    </row>
    <row r="499" s="1" customFormat="1" ht="11.25">
      <c r="J499" s="4"/>
    </row>
    <row r="500" s="1" customFormat="1" ht="11.25">
      <c r="J500" s="4"/>
    </row>
    <row r="501" s="1" customFormat="1" ht="11.25">
      <c r="J501" s="4"/>
    </row>
    <row r="502" s="1" customFormat="1" ht="11.25">
      <c r="J502" s="4"/>
    </row>
    <row r="503" s="1" customFormat="1" ht="11.25">
      <c r="J503" s="4"/>
    </row>
    <row r="504" s="1" customFormat="1" ht="11.25">
      <c r="J504" s="4"/>
    </row>
    <row r="505" s="1" customFormat="1" ht="11.25">
      <c r="J505" s="4"/>
    </row>
    <row r="506" s="1" customFormat="1" ht="11.25">
      <c r="J506" s="4"/>
    </row>
    <row r="507" s="1" customFormat="1" ht="11.25">
      <c r="J507" s="4"/>
    </row>
    <row r="508" s="1" customFormat="1" ht="11.25">
      <c r="J508" s="4"/>
    </row>
    <row r="509" s="1" customFormat="1" ht="11.25">
      <c r="J509" s="4"/>
    </row>
    <row r="510" s="1" customFormat="1" ht="11.25">
      <c r="J510" s="4"/>
    </row>
    <row r="511" s="1" customFormat="1" ht="11.25">
      <c r="J511" s="4"/>
    </row>
    <row r="512" s="1" customFormat="1" ht="11.25">
      <c r="J512" s="4"/>
    </row>
    <row r="513" s="1" customFormat="1" ht="11.25">
      <c r="J513" s="4"/>
    </row>
    <row r="514" s="1" customFormat="1" ht="11.25">
      <c r="J514" s="4"/>
    </row>
    <row r="515" s="1" customFormat="1" ht="11.25">
      <c r="J515" s="4"/>
    </row>
    <row r="516" s="1" customFormat="1" ht="11.25">
      <c r="J516" s="4"/>
    </row>
    <row r="517" s="1" customFormat="1" ht="11.25">
      <c r="J517" s="4"/>
    </row>
    <row r="518" s="1" customFormat="1" ht="11.25">
      <c r="J518" s="4"/>
    </row>
    <row r="519" s="1" customFormat="1" ht="11.25">
      <c r="J519" s="4"/>
    </row>
    <row r="520" s="1" customFormat="1" ht="11.25">
      <c r="J520" s="4"/>
    </row>
    <row r="521" s="1" customFormat="1" ht="11.25">
      <c r="J521" s="4"/>
    </row>
    <row r="522" s="1" customFormat="1" ht="11.25">
      <c r="J522" s="4"/>
    </row>
    <row r="523" s="1" customFormat="1" ht="11.25">
      <c r="J523" s="4"/>
    </row>
    <row r="524" s="1" customFormat="1" ht="11.25">
      <c r="J524" s="4"/>
    </row>
    <row r="525" s="1" customFormat="1" ht="11.25">
      <c r="J525" s="4"/>
    </row>
    <row r="526" s="1" customFormat="1" ht="11.25">
      <c r="J526" s="4"/>
    </row>
    <row r="527" s="1" customFormat="1" ht="11.25">
      <c r="J527" s="4"/>
    </row>
    <row r="528" s="1" customFormat="1" ht="11.25">
      <c r="J528" s="4"/>
    </row>
    <row r="529" s="1" customFormat="1" ht="11.25">
      <c r="J529" s="4"/>
    </row>
    <row r="530" s="1" customFormat="1" ht="11.25">
      <c r="J530" s="4"/>
    </row>
    <row r="531" s="1" customFormat="1" ht="11.25">
      <c r="J531" s="4"/>
    </row>
    <row r="532" s="1" customFormat="1" ht="11.25">
      <c r="J532" s="4"/>
    </row>
    <row r="533" s="1" customFormat="1" ht="11.25">
      <c r="J533" s="4"/>
    </row>
    <row r="534" s="1" customFormat="1" ht="11.25">
      <c r="J534" s="4"/>
    </row>
    <row r="535" s="1" customFormat="1" ht="11.25">
      <c r="J535" s="4"/>
    </row>
    <row r="536" s="1" customFormat="1" ht="11.25">
      <c r="J536" s="4"/>
    </row>
    <row r="537" s="1" customFormat="1" ht="11.25">
      <c r="J537" s="4"/>
    </row>
    <row r="538" s="1" customFormat="1" ht="11.25">
      <c r="J538" s="4"/>
    </row>
    <row r="539" s="1" customFormat="1" ht="11.25">
      <c r="J539" s="4"/>
    </row>
    <row r="540" s="1" customFormat="1" ht="11.25">
      <c r="J540" s="4"/>
    </row>
    <row r="541" s="1" customFormat="1" ht="11.25">
      <c r="J541" s="4"/>
    </row>
    <row r="542" s="1" customFormat="1" ht="11.25">
      <c r="J542" s="4"/>
    </row>
    <row r="543" s="1" customFormat="1" ht="11.25">
      <c r="J543" s="4"/>
    </row>
    <row r="544" s="1" customFormat="1" ht="11.25">
      <c r="J544" s="4"/>
    </row>
    <row r="545" s="1" customFormat="1" ht="11.25">
      <c r="J545" s="4"/>
    </row>
    <row r="546" s="1" customFormat="1" ht="11.25">
      <c r="J546" s="4"/>
    </row>
    <row r="547" s="1" customFormat="1" ht="11.25">
      <c r="J547" s="4"/>
    </row>
    <row r="548" s="1" customFormat="1" ht="11.25">
      <c r="J548" s="4"/>
    </row>
    <row r="549" s="1" customFormat="1" ht="11.25">
      <c r="J549" s="4"/>
    </row>
    <row r="550" s="1" customFormat="1" ht="11.25">
      <c r="J550" s="4"/>
    </row>
    <row r="551" s="1" customFormat="1" ht="11.25">
      <c r="J551" s="4"/>
    </row>
    <row r="552" s="1" customFormat="1" ht="11.25">
      <c r="J552" s="4"/>
    </row>
    <row r="553" s="1" customFormat="1" ht="11.25">
      <c r="J553" s="4"/>
    </row>
    <row r="554" s="1" customFormat="1" ht="11.25">
      <c r="J554" s="4"/>
    </row>
    <row r="555" s="1" customFormat="1" ht="11.25">
      <c r="J555" s="4"/>
    </row>
    <row r="556" s="1" customFormat="1" ht="11.25">
      <c r="J556" s="4"/>
    </row>
    <row r="557" s="1" customFormat="1" ht="11.25">
      <c r="J557" s="4"/>
    </row>
    <row r="558" s="1" customFormat="1" ht="11.25">
      <c r="J558" s="4"/>
    </row>
    <row r="559" s="1" customFormat="1" ht="11.25">
      <c r="J559" s="4"/>
    </row>
    <row r="560" s="1" customFormat="1" ht="11.25">
      <c r="J560" s="4"/>
    </row>
    <row r="561" s="1" customFormat="1" ht="11.25">
      <c r="J561" s="4"/>
    </row>
    <row r="562" s="1" customFormat="1" ht="11.25">
      <c r="J562" s="4"/>
    </row>
    <row r="563" s="1" customFormat="1" ht="11.25">
      <c r="J563" s="4"/>
    </row>
    <row r="564" s="1" customFormat="1" ht="11.25">
      <c r="J564" s="4"/>
    </row>
    <row r="565" s="1" customFormat="1" ht="11.25">
      <c r="J565" s="4"/>
    </row>
    <row r="566" s="1" customFormat="1" ht="11.25">
      <c r="J566" s="4"/>
    </row>
    <row r="567" s="1" customFormat="1" ht="11.25">
      <c r="J567" s="4"/>
    </row>
    <row r="568" s="1" customFormat="1" ht="11.25">
      <c r="J568" s="4"/>
    </row>
    <row r="569" s="1" customFormat="1" ht="11.25">
      <c r="J569" s="4"/>
    </row>
    <row r="570" s="1" customFormat="1" ht="11.25">
      <c r="J570" s="4"/>
    </row>
    <row r="571" s="1" customFormat="1" ht="11.25">
      <c r="J571" s="4"/>
    </row>
    <row r="572" s="1" customFormat="1" ht="11.25">
      <c r="J572" s="4"/>
    </row>
    <row r="573" s="1" customFormat="1" ht="11.25">
      <c r="J573" s="4"/>
    </row>
    <row r="574" s="1" customFormat="1" ht="11.25">
      <c r="J574" s="4"/>
    </row>
    <row r="575" s="1" customFormat="1" ht="11.25">
      <c r="J575" s="4"/>
    </row>
    <row r="576" s="1" customFormat="1" ht="11.25">
      <c r="J576" s="4"/>
    </row>
    <row r="577" s="1" customFormat="1" ht="11.25">
      <c r="J577" s="4"/>
    </row>
    <row r="578" s="1" customFormat="1" ht="11.25">
      <c r="J578" s="4"/>
    </row>
    <row r="579" s="1" customFormat="1" ht="11.25">
      <c r="J579" s="4"/>
    </row>
    <row r="580" s="1" customFormat="1" ht="11.25">
      <c r="J580" s="4"/>
    </row>
    <row r="581" s="1" customFormat="1" ht="11.25">
      <c r="J581" s="4"/>
    </row>
    <row r="582" s="1" customFormat="1" ht="11.25">
      <c r="J582" s="4"/>
    </row>
    <row r="583" s="1" customFormat="1" ht="11.25">
      <c r="J583" s="4"/>
    </row>
    <row r="584" s="1" customFormat="1" ht="11.25">
      <c r="J584" s="4"/>
    </row>
    <row r="585" s="1" customFormat="1" ht="11.25">
      <c r="J585" s="4"/>
    </row>
    <row r="586" s="1" customFormat="1" ht="11.25">
      <c r="J586" s="4"/>
    </row>
    <row r="587" s="1" customFormat="1" ht="11.25">
      <c r="J587" s="4"/>
    </row>
    <row r="588" s="1" customFormat="1" ht="11.25">
      <c r="J588" s="4"/>
    </row>
    <row r="589" s="1" customFormat="1" ht="11.25">
      <c r="J589" s="4"/>
    </row>
    <row r="590" s="1" customFormat="1" ht="11.25">
      <c r="J590" s="4"/>
    </row>
    <row r="591" s="1" customFormat="1" ht="11.25">
      <c r="J591" s="4"/>
    </row>
    <row r="592" s="1" customFormat="1" ht="11.25">
      <c r="J592" s="4"/>
    </row>
    <row r="593" s="1" customFormat="1" ht="11.25">
      <c r="J593" s="4"/>
    </row>
    <row r="594" s="1" customFormat="1" ht="11.25">
      <c r="J594" s="4"/>
    </row>
    <row r="595" s="1" customFormat="1" ht="11.25">
      <c r="J595" s="4"/>
    </row>
    <row r="596" s="1" customFormat="1" ht="11.25">
      <c r="J596" s="4"/>
    </row>
    <row r="597" s="1" customFormat="1" ht="11.25">
      <c r="J597" s="4"/>
    </row>
    <row r="598" s="1" customFormat="1" ht="11.25">
      <c r="J598" s="4"/>
    </row>
    <row r="599" s="1" customFormat="1" ht="11.25">
      <c r="J599" s="4"/>
    </row>
    <row r="600" s="1" customFormat="1" ht="11.25">
      <c r="J600" s="4"/>
    </row>
    <row r="601" s="1" customFormat="1" ht="11.25">
      <c r="J601" s="4"/>
    </row>
    <row r="602" s="1" customFormat="1" ht="11.25">
      <c r="J602" s="4"/>
    </row>
    <row r="603" s="1" customFormat="1" ht="11.25">
      <c r="J603" s="4"/>
    </row>
    <row r="604" s="1" customFormat="1" ht="11.25">
      <c r="J604" s="4"/>
    </row>
    <row r="605" s="1" customFormat="1" ht="11.25">
      <c r="J605" s="4"/>
    </row>
    <row r="606" s="1" customFormat="1" ht="11.25">
      <c r="J606" s="4"/>
    </row>
    <row r="607" s="1" customFormat="1" ht="11.25">
      <c r="J607" s="4"/>
    </row>
    <row r="608" s="1" customFormat="1" ht="11.25">
      <c r="J608" s="4"/>
    </row>
    <row r="609" s="1" customFormat="1" ht="11.25">
      <c r="J609" s="4"/>
    </row>
    <row r="610" s="1" customFormat="1" ht="11.25">
      <c r="J610" s="4"/>
    </row>
    <row r="611" s="1" customFormat="1" ht="11.25">
      <c r="J611" s="4"/>
    </row>
    <row r="612" s="1" customFormat="1" ht="11.25">
      <c r="J612" s="4"/>
    </row>
    <row r="613" s="1" customFormat="1" ht="11.25">
      <c r="J613" s="4"/>
    </row>
    <row r="614" s="1" customFormat="1" ht="11.25">
      <c r="J614" s="4"/>
    </row>
    <row r="615" s="1" customFormat="1" ht="11.25">
      <c r="J615" s="4"/>
    </row>
    <row r="616" s="1" customFormat="1" ht="11.25">
      <c r="J616" s="4"/>
    </row>
    <row r="617" s="1" customFormat="1" ht="11.25">
      <c r="J617" s="4"/>
    </row>
    <row r="618" s="1" customFormat="1" ht="11.25">
      <c r="J618" s="4"/>
    </row>
    <row r="619" s="1" customFormat="1" ht="11.25">
      <c r="J619" s="4"/>
    </row>
    <row r="620" s="1" customFormat="1" ht="11.25">
      <c r="J620" s="4"/>
    </row>
    <row r="621" s="1" customFormat="1" ht="11.25">
      <c r="J621" s="4"/>
    </row>
    <row r="622" s="1" customFormat="1" ht="11.25">
      <c r="J622" s="4"/>
    </row>
    <row r="623" s="1" customFormat="1" ht="11.25">
      <c r="J623" s="4"/>
    </row>
    <row r="624" s="1" customFormat="1" ht="11.25">
      <c r="J624" s="4"/>
    </row>
    <row r="625" s="1" customFormat="1" ht="11.25">
      <c r="J625" s="4"/>
    </row>
    <row r="626" s="1" customFormat="1" ht="11.25">
      <c r="J626" s="4"/>
    </row>
    <row r="627" s="1" customFormat="1" ht="11.25">
      <c r="J627" s="4"/>
    </row>
    <row r="628" s="1" customFormat="1" ht="11.25">
      <c r="J628" s="4"/>
    </row>
    <row r="629" s="1" customFormat="1" ht="11.25">
      <c r="J629" s="4"/>
    </row>
    <row r="630" s="1" customFormat="1" ht="11.25">
      <c r="J630" s="4"/>
    </row>
    <row r="631" s="1" customFormat="1" ht="11.25">
      <c r="J631" s="4"/>
    </row>
    <row r="632" s="1" customFormat="1" ht="11.25">
      <c r="J632" s="4"/>
    </row>
    <row r="633" s="1" customFormat="1" ht="11.25">
      <c r="J633" s="4"/>
    </row>
    <row r="634" s="1" customFormat="1" ht="11.25">
      <c r="J634" s="4"/>
    </row>
    <row r="635" s="1" customFormat="1" ht="11.25">
      <c r="J635" s="4"/>
    </row>
    <row r="636" s="1" customFormat="1" ht="11.25">
      <c r="J636" s="4"/>
    </row>
    <row r="637" s="1" customFormat="1" ht="11.25">
      <c r="J637" s="4"/>
    </row>
    <row r="638" s="1" customFormat="1" ht="11.25">
      <c r="J638" s="4"/>
    </row>
    <row r="639" s="1" customFormat="1" ht="11.25">
      <c r="J639" s="4"/>
    </row>
    <row r="640" s="1" customFormat="1" ht="11.25">
      <c r="J640" s="4"/>
    </row>
    <row r="641" s="1" customFormat="1" ht="11.25">
      <c r="J641" s="4"/>
    </row>
    <row r="642" s="1" customFormat="1" ht="11.25">
      <c r="J642" s="4"/>
    </row>
    <row r="643" s="1" customFormat="1" ht="11.25">
      <c r="J643" s="4"/>
    </row>
    <row r="644" s="1" customFormat="1" ht="11.25">
      <c r="J644" s="4"/>
    </row>
    <row r="645" s="1" customFormat="1" ht="11.25">
      <c r="J645" s="4"/>
    </row>
    <row r="646" s="1" customFormat="1" ht="11.25">
      <c r="J646" s="4"/>
    </row>
    <row r="647" s="1" customFormat="1" ht="11.25">
      <c r="J647" s="4"/>
    </row>
    <row r="648" s="1" customFormat="1" ht="11.25">
      <c r="J648" s="4"/>
    </row>
    <row r="649" s="1" customFormat="1" ht="11.25">
      <c r="J649" s="4"/>
    </row>
    <row r="650" s="1" customFormat="1" ht="11.25">
      <c r="J650" s="4"/>
    </row>
    <row r="651" s="1" customFormat="1" ht="11.25">
      <c r="J651" s="4"/>
    </row>
    <row r="652" s="1" customFormat="1" ht="11.25">
      <c r="J652" s="4"/>
    </row>
    <row r="653" s="1" customFormat="1" ht="11.25">
      <c r="J653" s="4"/>
    </row>
    <row r="654" s="1" customFormat="1" ht="11.25">
      <c r="J654" s="4"/>
    </row>
    <row r="655" s="1" customFormat="1" ht="11.25">
      <c r="J655" s="4"/>
    </row>
    <row r="656" s="1" customFormat="1" ht="11.25">
      <c r="J656" s="4"/>
    </row>
    <row r="657" s="1" customFormat="1" ht="11.25">
      <c r="J657" s="4"/>
    </row>
    <row r="658" s="1" customFormat="1" ht="11.25">
      <c r="J658" s="4"/>
    </row>
    <row r="659" s="1" customFormat="1" ht="11.25">
      <c r="J659" s="4"/>
    </row>
    <row r="660" s="1" customFormat="1" ht="11.25">
      <c r="J660" s="4"/>
    </row>
    <row r="661" s="1" customFormat="1" ht="11.25">
      <c r="J661" s="4"/>
    </row>
    <row r="662" s="1" customFormat="1" ht="11.25">
      <c r="J662" s="4"/>
    </row>
    <row r="663" s="1" customFormat="1" ht="11.25">
      <c r="J663" s="4"/>
    </row>
    <row r="664" s="1" customFormat="1" ht="11.25">
      <c r="J664" s="4"/>
    </row>
    <row r="665" s="1" customFormat="1" ht="11.25">
      <c r="J665" s="4"/>
    </row>
    <row r="666" s="1" customFormat="1" ht="11.25">
      <c r="J666" s="4"/>
    </row>
    <row r="667" s="1" customFormat="1" ht="11.25">
      <c r="J667" s="4"/>
    </row>
    <row r="668" s="1" customFormat="1" ht="11.25">
      <c r="J668" s="4"/>
    </row>
    <row r="669" s="1" customFormat="1" ht="11.25">
      <c r="J669" s="4"/>
    </row>
    <row r="670" s="1" customFormat="1" ht="11.25">
      <c r="J670" s="4"/>
    </row>
    <row r="671" s="1" customFormat="1" ht="11.25">
      <c r="J671" s="4"/>
    </row>
    <row r="672" s="1" customFormat="1" ht="11.25">
      <c r="J672" s="4"/>
    </row>
    <row r="673" s="1" customFormat="1" ht="11.25">
      <c r="J673" s="4"/>
    </row>
    <row r="674" s="1" customFormat="1" ht="11.25">
      <c r="J674" s="4"/>
    </row>
    <row r="675" s="1" customFormat="1" ht="11.25">
      <c r="J675" s="4"/>
    </row>
    <row r="676" s="1" customFormat="1" ht="11.25">
      <c r="J676" s="4"/>
    </row>
    <row r="677" s="1" customFormat="1" ht="11.25">
      <c r="J677" s="4"/>
    </row>
    <row r="678" s="1" customFormat="1" ht="11.25">
      <c r="J678" s="4"/>
    </row>
    <row r="679" s="1" customFormat="1" ht="11.25">
      <c r="J679" s="4"/>
    </row>
    <row r="680" s="1" customFormat="1" ht="11.25">
      <c r="J680" s="4"/>
    </row>
    <row r="681" s="1" customFormat="1" ht="11.25">
      <c r="J681" s="4"/>
    </row>
    <row r="682" s="1" customFormat="1" ht="11.25">
      <c r="J682" s="4"/>
    </row>
    <row r="683" s="1" customFormat="1" ht="11.25">
      <c r="J683" s="4"/>
    </row>
    <row r="684" s="1" customFormat="1" ht="11.25">
      <c r="J684" s="4"/>
    </row>
    <row r="685" s="1" customFormat="1" ht="11.25">
      <c r="J685" s="4"/>
    </row>
    <row r="686" s="1" customFormat="1" ht="11.25">
      <c r="J686" s="4"/>
    </row>
    <row r="687" s="1" customFormat="1" ht="11.25">
      <c r="J687" s="4"/>
    </row>
    <row r="688" s="1" customFormat="1" ht="11.25">
      <c r="J688" s="4"/>
    </row>
    <row r="689" s="1" customFormat="1" ht="11.25">
      <c r="J689" s="4"/>
    </row>
    <row r="690" s="1" customFormat="1" ht="11.25">
      <c r="J690" s="4"/>
    </row>
    <row r="691" s="1" customFormat="1" ht="11.25">
      <c r="J691" s="4"/>
    </row>
    <row r="692" s="1" customFormat="1" ht="11.25">
      <c r="J692" s="4"/>
    </row>
    <row r="693" s="1" customFormat="1" ht="11.25">
      <c r="J693" s="4"/>
    </row>
    <row r="694" s="1" customFormat="1" ht="11.25">
      <c r="J694" s="4"/>
    </row>
    <row r="695" s="1" customFormat="1" ht="11.25">
      <c r="J695" s="4"/>
    </row>
    <row r="696" s="1" customFormat="1" ht="11.25">
      <c r="J696" s="4"/>
    </row>
    <row r="697" s="1" customFormat="1" ht="11.25">
      <c r="J697" s="4"/>
    </row>
    <row r="698" s="1" customFormat="1" ht="11.25">
      <c r="J698" s="4"/>
    </row>
    <row r="699" s="1" customFormat="1" ht="11.25">
      <c r="J699" s="4"/>
    </row>
    <row r="700" s="1" customFormat="1" ht="11.25">
      <c r="J700" s="4"/>
    </row>
    <row r="701" s="1" customFormat="1" ht="11.25">
      <c r="J701" s="4"/>
    </row>
    <row r="702" s="1" customFormat="1" ht="11.25">
      <c r="J702" s="4"/>
    </row>
    <row r="703" s="1" customFormat="1" ht="11.25">
      <c r="J703" s="4"/>
    </row>
    <row r="704" s="1" customFormat="1" ht="11.25">
      <c r="J704" s="4"/>
    </row>
    <row r="705" s="1" customFormat="1" ht="11.25">
      <c r="J705" s="4"/>
    </row>
    <row r="706" s="1" customFormat="1" ht="11.25">
      <c r="J706" s="4"/>
    </row>
    <row r="707" s="1" customFormat="1" ht="11.25">
      <c r="J707" s="4"/>
    </row>
    <row r="708" s="1" customFormat="1" ht="11.25">
      <c r="J708" s="4"/>
    </row>
    <row r="709" s="1" customFormat="1" ht="11.25">
      <c r="J709" s="4"/>
    </row>
    <row r="710" s="1" customFormat="1" ht="11.25">
      <c r="J710" s="4"/>
    </row>
    <row r="711" s="1" customFormat="1" ht="11.25">
      <c r="J711" s="4"/>
    </row>
    <row r="712" s="1" customFormat="1" ht="11.25">
      <c r="J712" s="4"/>
    </row>
    <row r="713" s="1" customFormat="1" ht="11.25">
      <c r="J713" s="4"/>
    </row>
    <row r="714" s="1" customFormat="1" ht="11.25">
      <c r="J714" s="4"/>
    </row>
    <row r="715" s="1" customFormat="1" ht="11.25">
      <c r="J715" s="4"/>
    </row>
    <row r="716" s="1" customFormat="1" ht="11.25">
      <c r="J716" s="4"/>
    </row>
    <row r="717" s="1" customFormat="1" ht="11.25">
      <c r="J717" s="4"/>
    </row>
    <row r="718" s="1" customFormat="1" ht="11.25">
      <c r="J718" s="4"/>
    </row>
    <row r="719" s="1" customFormat="1" ht="11.25">
      <c r="J719" s="4"/>
    </row>
    <row r="720" s="1" customFormat="1" ht="11.25">
      <c r="J720" s="4"/>
    </row>
    <row r="721" s="1" customFormat="1" ht="11.25">
      <c r="J721" s="4"/>
    </row>
    <row r="722" s="1" customFormat="1" ht="11.25">
      <c r="J722" s="4"/>
    </row>
    <row r="723" s="1" customFormat="1" ht="11.25">
      <c r="J723" s="4"/>
    </row>
    <row r="724" s="1" customFormat="1" ht="11.25">
      <c r="J724" s="4"/>
    </row>
    <row r="725" s="1" customFormat="1" ht="11.25">
      <c r="J725" s="4"/>
    </row>
    <row r="726" s="1" customFormat="1" ht="11.25">
      <c r="J726" s="4"/>
    </row>
    <row r="727" s="1" customFormat="1" ht="11.25">
      <c r="J727" s="4"/>
    </row>
    <row r="728" s="1" customFormat="1" ht="11.25">
      <c r="J728" s="4"/>
    </row>
    <row r="729" s="1" customFormat="1" ht="11.25">
      <c r="J729" s="4"/>
    </row>
    <row r="730" s="1" customFormat="1" ht="11.25">
      <c r="J730" s="4"/>
    </row>
    <row r="731" s="1" customFormat="1" ht="11.25">
      <c r="J731" s="4"/>
    </row>
    <row r="732" s="1" customFormat="1" ht="11.25">
      <c r="J732" s="4"/>
    </row>
    <row r="733" s="1" customFormat="1" ht="11.25">
      <c r="J733" s="4"/>
    </row>
    <row r="734" s="1" customFormat="1" ht="11.25">
      <c r="J734" s="4"/>
    </row>
    <row r="735" s="1" customFormat="1" ht="11.25">
      <c r="J735" s="4"/>
    </row>
    <row r="736" s="1" customFormat="1" ht="11.25">
      <c r="J736" s="4"/>
    </row>
    <row r="737" s="1" customFormat="1" ht="11.25">
      <c r="J737" s="4"/>
    </row>
    <row r="738" s="1" customFormat="1" ht="11.25">
      <c r="J738" s="4"/>
    </row>
    <row r="739" s="1" customFormat="1" ht="11.25">
      <c r="J739" s="4"/>
    </row>
    <row r="740" s="1" customFormat="1" ht="11.25">
      <c r="J740" s="4"/>
    </row>
    <row r="741" s="1" customFormat="1" ht="11.25">
      <c r="J741" s="4"/>
    </row>
    <row r="742" s="1" customFormat="1" ht="11.25">
      <c r="J742" s="4"/>
    </row>
    <row r="743" s="1" customFormat="1" ht="11.25">
      <c r="J743" s="4"/>
    </row>
    <row r="744" s="1" customFormat="1" ht="11.25">
      <c r="J744" s="4"/>
    </row>
    <row r="745" s="1" customFormat="1" ht="11.25">
      <c r="J745" s="4"/>
    </row>
    <row r="746" s="1" customFormat="1" ht="11.25">
      <c r="J746" s="4"/>
    </row>
    <row r="747" s="1" customFormat="1" ht="11.25">
      <c r="J747" s="4"/>
    </row>
    <row r="748" s="1" customFormat="1" ht="11.25">
      <c r="J748" s="4"/>
    </row>
    <row r="749" s="1" customFormat="1" ht="11.25">
      <c r="J749" s="4"/>
    </row>
    <row r="750" s="1" customFormat="1" ht="11.25">
      <c r="J750" s="4"/>
    </row>
    <row r="751" s="1" customFormat="1" ht="11.25">
      <c r="J751" s="4"/>
    </row>
    <row r="752" s="1" customFormat="1" ht="11.25">
      <c r="J752" s="4"/>
    </row>
    <row r="753" s="1" customFormat="1" ht="11.25">
      <c r="J753" s="4"/>
    </row>
    <row r="754" s="1" customFormat="1" ht="11.25">
      <c r="J754" s="4"/>
    </row>
    <row r="755" s="1" customFormat="1" ht="11.25">
      <c r="J755" s="4"/>
    </row>
    <row r="756" s="1" customFormat="1" ht="11.25">
      <c r="J756" s="4"/>
    </row>
    <row r="757" s="1" customFormat="1" ht="11.25">
      <c r="J757" s="4"/>
    </row>
    <row r="758" s="1" customFormat="1" ht="11.25">
      <c r="J758" s="4"/>
    </row>
    <row r="759" s="1" customFormat="1" ht="11.25">
      <c r="J759" s="4"/>
    </row>
    <row r="760" s="1" customFormat="1" ht="11.25">
      <c r="J760" s="4"/>
    </row>
    <row r="761" s="1" customFormat="1" ht="11.25">
      <c r="J761" s="4"/>
    </row>
    <row r="762" s="1" customFormat="1" ht="11.25">
      <c r="J762" s="4"/>
    </row>
    <row r="763" s="1" customFormat="1" ht="11.25">
      <c r="J763" s="4"/>
    </row>
    <row r="764" s="1" customFormat="1" ht="11.25">
      <c r="J764" s="4"/>
    </row>
    <row r="765" s="1" customFormat="1" ht="11.25">
      <c r="J765" s="4"/>
    </row>
    <row r="766" s="1" customFormat="1" ht="11.25">
      <c r="J766" s="4"/>
    </row>
    <row r="767" s="1" customFormat="1" ht="11.25">
      <c r="J767" s="4"/>
    </row>
    <row r="768" s="1" customFormat="1" ht="11.25">
      <c r="J768" s="4"/>
    </row>
    <row r="769" s="1" customFormat="1" ht="11.25">
      <c r="J769" s="4"/>
    </row>
    <row r="770" s="1" customFormat="1" ht="11.25">
      <c r="J770" s="4"/>
    </row>
    <row r="771" s="1" customFormat="1" ht="11.25">
      <c r="J771" s="4"/>
    </row>
    <row r="772" s="1" customFormat="1" ht="11.25">
      <c r="J772" s="4"/>
    </row>
    <row r="773" s="1" customFormat="1" ht="11.25">
      <c r="J773" s="4"/>
    </row>
    <row r="774" s="1" customFormat="1" ht="11.25">
      <c r="J774" s="4"/>
    </row>
    <row r="775" s="1" customFormat="1" ht="11.25">
      <c r="J775" s="4"/>
    </row>
    <row r="776" s="1" customFormat="1" ht="11.25">
      <c r="J776" s="4"/>
    </row>
    <row r="777" s="1" customFormat="1" ht="11.25">
      <c r="J777" s="4"/>
    </row>
    <row r="778" s="1" customFormat="1" ht="11.25">
      <c r="J778" s="4"/>
    </row>
    <row r="779" s="1" customFormat="1" ht="11.25">
      <c r="J779" s="4"/>
    </row>
    <row r="780" s="1" customFormat="1" ht="11.25">
      <c r="J780" s="4"/>
    </row>
    <row r="781" s="1" customFormat="1" ht="11.25">
      <c r="J781" s="4"/>
    </row>
    <row r="782" s="1" customFormat="1" ht="11.25">
      <c r="J782" s="4"/>
    </row>
    <row r="783" s="1" customFormat="1" ht="11.25">
      <c r="J783" s="4"/>
    </row>
    <row r="784" s="1" customFormat="1" ht="11.25">
      <c r="J784" s="4"/>
    </row>
    <row r="785" s="1" customFormat="1" ht="11.25">
      <c r="J785" s="4"/>
    </row>
    <row r="786" s="1" customFormat="1" ht="11.25">
      <c r="J786" s="4"/>
    </row>
    <row r="787" s="1" customFormat="1" ht="11.25">
      <c r="J787" s="4"/>
    </row>
    <row r="788" s="1" customFormat="1" ht="11.25">
      <c r="J788" s="4"/>
    </row>
    <row r="789" s="1" customFormat="1" ht="11.25">
      <c r="J789" s="4"/>
    </row>
    <row r="790" s="1" customFormat="1" ht="11.25">
      <c r="J790" s="4"/>
    </row>
    <row r="791" s="1" customFormat="1" ht="11.25">
      <c r="J791" s="4"/>
    </row>
    <row r="792" s="1" customFormat="1" ht="11.25">
      <c r="J792" s="4"/>
    </row>
    <row r="793" s="1" customFormat="1" ht="11.25">
      <c r="J793" s="4"/>
    </row>
    <row r="794" s="1" customFormat="1" ht="11.25">
      <c r="J794" s="4"/>
    </row>
    <row r="795" s="1" customFormat="1" ht="11.25">
      <c r="J795" s="4"/>
    </row>
    <row r="796" s="1" customFormat="1" ht="11.25">
      <c r="J796" s="4"/>
    </row>
    <row r="797" s="1" customFormat="1" ht="11.25">
      <c r="J797" s="4"/>
    </row>
    <row r="798" s="1" customFormat="1" ht="11.25">
      <c r="J798" s="4"/>
    </row>
    <row r="799" s="1" customFormat="1" ht="11.25">
      <c r="J799" s="4"/>
    </row>
    <row r="800" s="1" customFormat="1" ht="11.25">
      <c r="J800" s="4"/>
    </row>
    <row r="801" s="1" customFormat="1" ht="11.25">
      <c r="J801" s="4"/>
    </row>
    <row r="802" s="1" customFormat="1" ht="11.25">
      <c r="J802" s="4"/>
    </row>
    <row r="803" s="1" customFormat="1" ht="11.25">
      <c r="J803" s="4"/>
    </row>
    <row r="804" s="1" customFormat="1" ht="11.25">
      <c r="J804" s="4"/>
    </row>
    <row r="805" s="1" customFormat="1" ht="11.25">
      <c r="J805" s="4"/>
    </row>
    <row r="806" s="1" customFormat="1" ht="11.25">
      <c r="J806" s="4"/>
    </row>
    <row r="807" s="1" customFormat="1" ht="11.25">
      <c r="J807" s="4"/>
    </row>
    <row r="808" s="1" customFormat="1" ht="11.25">
      <c r="J808" s="4"/>
    </row>
    <row r="809" s="1" customFormat="1" ht="11.25">
      <c r="J809" s="4"/>
    </row>
    <row r="810" s="1" customFormat="1" ht="11.25">
      <c r="J810" s="4"/>
    </row>
    <row r="811" s="1" customFormat="1" ht="11.25">
      <c r="J811" s="4"/>
    </row>
    <row r="812" s="1" customFormat="1" ht="11.25">
      <c r="J812" s="4"/>
    </row>
    <row r="813" s="1" customFormat="1" ht="11.25">
      <c r="J813" s="4"/>
    </row>
    <row r="814" s="1" customFormat="1" ht="11.25">
      <c r="J814" s="4"/>
    </row>
    <row r="815" s="1" customFormat="1" ht="11.25">
      <c r="J815" s="4"/>
    </row>
    <row r="816" s="1" customFormat="1" ht="11.25">
      <c r="J816" s="4"/>
    </row>
    <row r="817" s="1" customFormat="1" ht="11.25">
      <c r="J817" s="4"/>
    </row>
    <row r="818" s="1" customFormat="1" ht="11.25">
      <c r="J818" s="4"/>
    </row>
    <row r="819" s="1" customFormat="1" ht="11.25">
      <c r="J819" s="4"/>
    </row>
    <row r="820" s="1" customFormat="1" ht="11.25">
      <c r="J820" s="4"/>
    </row>
    <row r="821" s="1" customFormat="1" ht="11.25">
      <c r="J821" s="4"/>
    </row>
    <row r="822" s="1" customFormat="1" ht="11.25">
      <c r="J822" s="4"/>
    </row>
    <row r="823" s="1" customFormat="1" ht="11.25">
      <c r="J823" s="4"/>
    </row>
    <row r="824" s="1" customFormat="1" ht="11.25">
      <c r="J824" s="4"/>
    </row>
    <row r="825" s="1" customFormat="1" ht="11.25">
      <c r="J825" s="4"/>
    </row>
    <row r="826" s="1" customFormat="1" ht="11.25">
      <c r="J826" s="4"/>
    </row>
    <row r="827" s="1" customFormat="1" ht="11.25">
      <c r="J827" s="4"/>
    </row>
    <row r="828" s="1" customFormat="1" ht="11.25">
      <c r="J828" s="4"/>
    </row>
    <row r="829" s="1" customFormat="1" ht="11.25">
      <c r="J829" s="4"/>
    </row>
    <row r="830" s="1" customFormat="1" ht="11.25">
      <c r="J830" s="4"/>
    </row>
    <row r="831" s="1" customFormat="1" ht="11.25">
      <c r="J831" s="4"/>
    </row>
    <row r="832" s="1" customFormat="1" ht="11.25">
      <c r="J832" s="4"/>
    </row>
    <row r="833" s="1" customFormat="1" ht="11.25">
      <c r="J833" s="4"/>
    </row>
    <row r="834" s="1" customFormat="1" ht="11.25">
      <c r="J834" s="4"/>
    </row>
    <row r="835" s="1" customFormat="1" ht="11.25">
      <c r="J835" s="4"/>
    </row>
    <row r="836" s="1" customFormat="1" ht="11.25">
      <c r="J836" s="4"/>
    </row>
    <row r="837" s="1" customFormat="1" ht="11.25">
      <c r="J837" s="4"/>
    </row>
    <row r="838" s="1" customFormat="1" ht="11.25">
      <c r="J838" s="4"/>
    </row>
    <row r="839" s="1" customFormat="1" ht="11.25">
      <c r="J839" s="4"/>
    </row>
    <row r="840" s="1" customFormat="1" ht="11.25">
      <c r="J840" s="4"/>
    </row>
    <row r="841" s="1" customFormat="1" ht="11.25">
      <c r="J841" s="4"/>
    </row>
    <row r="842" s="1" customFormat="1" ht="11.25">
      <c r="J842" s="4"/>
    </row>
    <row r="843" s="1" customFormat="1" ht="11.25">
      <c r="J843" s="4"/>
    </row>
    <row r="844" s="1" customFormat="1" ht="11.25">
      <c r="J844" s="4"/>
    </row>
    <row r="845" s="1" customFormat="1" ht="11.25">
      <c r="J845" s="4"/>
    </row>
    <row r="846" s="1" customFormat="1" ht="11.25">
      <c r="J846" s="4"/>
    </row>
    <row r="847" s="1" customFormat="1" ht="11.25">
      <c r="J847" s="4"/>
    </row>
    <row r="848" s="1" customFormat="1" ht="11.25">
      <c r="J848" s="4"/>
    </row>
    <row r="849" s="1" customFormat="1" ht="11.25">
      <c r="J849" s="4"/>
    </row>
    <row r="850" s="1" customFormat="1" ht="11.25">
      <c r="J850" s="4"/>
    </row>
    <row r="851" s="1" customFormat="1" ht="11.25">
      <c r="J851" s="4"/>
    </row>
    <row r="852" s="1" customFormat="1" ht="11.25">
      <c r="J852" s="4"/>
    </row>
    <row r="853" s="1" customFormat="1" ht="11.25">
      <c r="J853" s="4"/>
    </row>
    <row r="854" s="1" customFormat="1" ht="11.25">
      <c r="J854" s="4"/>
    </row>
    <row r="855" s="1" customFormat="1" ht="11.25">
      <c r="J855" s="4"/>
    </row>
    <row r="856" s="1" customFormat="1" ht="11.25">
      <c r="J856" s="4"/>
    </row>
    <row r="857" s="1" customFormat="1" ht="11.25">
      <c r="J857" s="4"/>
    </row>
    <row r="858" s="1" customFormat="1" ht="11.25">
      <c r="J858" s="4"/>
    </row>
    <row r="859" s="1" customFormat="1" ht="11.25">
      <c r="J859" s="4"/>
    </row>
    <row r="860" s="1" customFormat="1" ht="11.25">
      <c r="J860" s="4"/>
    </row>
    <row r="861" s="1" customFormat="1" ht="11.25">
      <c r="J861" s="4"/>
    </row>
    <row r="862" s="1" customFormat="1" ht="11.25">
      <c r="J862" s="4"/>
    </row>
    <row r="863" s="1" customFormat="1" ht="11.25">
      <c r="J863" s="4"/>
    </row>
    <row r="864" s="1" customFormat="1" ht="11.25">
      <c r="J864" s="4"/>
    </row>
    <row r="865" s="1" customFormat="1" ht="11.25">
      <c r="J865" s="4"/>
    </row>
    <row r="866" s="1" customFormat="1" ht="11.25">
      <c r="J866" s="4"/>
    </row>
    <row r="867" s="1" customFormat="1" ht="11.25">
      <c r="J867" s="4"/>
    </row>
    <row r="868" s="1" customFormat="1" ht="11.25">
      <c r="J868" s="4"/>
    </row>
    <row r="869" s="1" customFormat="1" ht="11.25">
      <c r="J869" s="4"/>
    </row>
    <row r="870" s="1" customFormat="1" ht="11.25">
      <c r="J870" s="4"/>
    </row>
    <row r="871" s="1" customFormat="1" ht="11.25">
      <c r="J871" s="4"/>
    </row>
    <row r="872" s="1" customFormat="1" ht="11.25">
      <c r="J872" s="4"/>
    </row>
    <row r="873" s="1" customFormat="1" ht="11.25">
      <c r="J873" s="4"/>
    </row>
    <row r="874" s="1" customFormat="1" ht="11.25">
      <c r="J874" s="4"/>
    </row>
    <row r="875" s="1" customFormat="1" ht="11.25">
      <c r="J875" s="4"/>
    </row>
    <row r="876" s="1" customFormat="1" ht="11.25">
      <c r="J876" s="4"/>
    </row>
    <row r="877" s="1" customFormat="1" ht="11.25">
      <c r="J877" s="4"/>
    </row>
    <row r="878" s="1" customFormat="1" ht="11.25">
      <c r="J878" s="4"/>
    </row>
    <row r="879" s="1" customFormat="1" ht="11.25">
      <c r="J879" s="4"/>
    </row>
    <row r="880" s="1" customFormat="1" ht="11.25">
      <c r="J880" s="4"/>
    </row>
    <row r="881" s="1" customFormat="1" ht="11.25">
      <c r="J881" s="4"/>
    </row>
    <row r="882" s="1" customFormat="1" ht="11.25">
      <c r="J882" s="4"/>
    </row>
    <row r="883" s="1" customFormat="1" ht="11.25">
      <c r="J883" s="4"/>
    </row>
    <row r="884" s="1" customFormat="1" ht="11.25">
      <c r="J884" s="4"/>
    </row>
    <row r="885" s="1" customFormat="1" ht="11.25">
      <c r="J885" s="4"/>
    </row>
    <row r="886" s="1" customFormat="1" ht="11.25">
      <c r="J886" s="4"/>
    </row>
    <row r="887" s="1" customFormat="1" ht="11.25">
      <c r="J887" s="4"/>
    </row>
    <row r="888" s="1" customFormat="1" ht="11.25">
      <c r="J888" s="4"/>
    </row>
    <row r="889" s="1" customFormat="1" ht="11.25">
      <c r="J889" s="4"/>
    </row>
    <row r="890" s="1" customFormat="1" ht="11.25">
      <c r="J890" s="4"/>
    </row>
    <row r="891" s="1" customFormat="1" ht="11.25">
      <c r="J891" s="4"/>
    </row>
    <row r="892" s="1" customFormat="1" ht="11.25">
      <c r="J892" s="4"/>
    </row>
    <row r="893" s="1" customFormat="1" ht="11.25">
      <c r="J893" s="4"/>
    </row>
    <row r="894" s="1" customFormat="1" ht="11.25">
      <c r="J894" s="4"/>
    </row>
    <row r="895" s="1" customFormat="1" ht="11.25">
      <c r="J895" s="4"/>
    </row>
    <row r="896" s="1" customFormat="1" ht="11.25">
      <c r="J896" s="4"/>
    </row>
    <row r="897" s="1" customFormat="1" ht="11.25">
      <c r="J897" s="4"/>
    </row>
    <row r="898" s="1" customFormat="1" ht="11.25">
      <c r="J898" s="4"/>
    </row>
    <row r="899" s="1" customFormat="1" ht="11.25">
      <c r="J899" s="4"/>
    </row>
    <row r="900" s="1" customFormat="1" ht="11.25">
      <c r="J900" s="4"/>
    </row>
    <row r="901" s="1" customFormat="1" ht="11.25">
      <c r="J901" s="4"/>
    </row>
    <row r="902" s="1" customFormat="1" ht="11.25">
      <c r="J902" s="4"/>
    </row>
    <row r="903" s="1" customFormat="1" ht="11.25">
      <c r="J903" s="4"/>
    </row>
    <row r="904" s="1" customFormat="1" ht="11.25">
      <c r="J904" s="4"/>
    </row>
    <row r="905" s="1" customFormat="1" ht="11.25">
      <c r="J905" s="4"/>
    </row>
    <row r="906" s="1" customFormat="1" ht="11.25">
      <c r="J906" s="4"/>
    </row>
    <row r="907" s="1" customFormat="1" ht="11.25">
      <c r="J907" s="4"/>
    </row>
    <row r="908" s="1" customFormat="1" ht="11.25">
      <c r="J908" s="4"/>
    </row>
    <row r="909" s="1" customFormat="1" ht="11.25">
      <c r="J909" s="4"/>
    </row>
    <row r="910" s="1" customFormat="1" ht="11.25">
      <c r="J910" s="4"/>
    </row>
    <row r="911" s="1" customFormat="1" ht="11.25">
      <c r="J911" s="4"/>
    </row>
    <row r="912" s="1" customFormat="1" ht="11.25">
      <c r="J912" s="4"/>
    </row>
    <row r="913" s="1" customFormat="1" ht="11.25">
      <c r="J913" s="4"/>
    </row>
    <row r="914" s="1" customFormat="1" ht="11.25">
      <c r="J914" s="4"/>
    </row>
    <row r="915" s="1" customFormat="1" ht="11.25">
      <c r="J915" s="4"/>
    </row>
    <row r="916" s="1" customFormat="1" ht="11.25">
      <c r="J916" s="4"/>
    </row>
    <row r="917" s="1" customFormat="1" ht="11.25">
      <c r="J917" s="4"/>
    </row>
    <row r="918" s="1" customFormat="1" ht="11.25">
      <c r="J918" s="4"/>
    </row>
    <row r="919" s="1" customFormat="1" ht="11.25">
      <c r="J919" s="4"/>
    </row>
    <row r="920" s="1" customFormat="1" ht="11.25">
      <c r="J920" s="4"/>
    </row>
    <row r="921" s="1" customFormat="1" ht="11.25">
      <c r="J921" s="4"/>
    </row>
    <row r="922" s="1" customFormat="1" ht="11.25">
      <c r="J922" s="4"/>
    </row>
    <row r="923" s="1" customFormat="1" ht="11.25">
      <c r="J923" s="4"/>
    </row>
    <row r="924" s="1" customFormat="1" ht="11.25">
      <c r="J924" s="4"/>
    </row>
    <row r="925" s="1" customFormat="1" ht="11.25">
      <c r="J925" s="4"/>
    </row>
    <row r="926" s="1" customFormat="1" ht="11.25">
      <c r="J926" s="4"/>
    </row>
    <row r="927" s="1" customFormat="1" ht="11.25">
      <c r="J927" s="4"/>
    </row>
    <row r="928" s="1" customFormat="1" ht="11.25">
      <c r="J928" s="4"/>
    </row>
    <row r="929" s="1" customFormat="1" ht="11.25">
      <c r="J929" s="4"/>
    </row>
    <row r="930" s="1" customFormat="1" ht="11.25">
      <c r="J930" s="4"/>
    </row>
    <row r="931" s="1" customFormat="1" ht="11.25">
      <c r="J931" s="4"/>
    </row>
    <row r="932" s="1" customFormat="1" ht="11.25">
      <c r="J932" s="4"/>
    </row>
    <row r="933" s="1" customFormat="1" ht="11.25">
      <c r="J933" s="4"/>
    </row>
    <row r="934" s="1" customFormat="1" ht="11.25">
      <c r="J934" s="4"/>
    </row>
    <row r="935" s="1" customFormat="1" ht="11.25">
      <c r="J935" s="4"/>
    </row>
    <row r="936" s="1" customFormat="1" ht="11.25">
      <c r="J936" s="4"/>
    </row>
    <row r="937" s="1" customFormat="1" ht="11.25">
      <c r="J937" s="4"/>
    </row>
    <row r="938" s="1" customFormat="1" ht="11.25">
      <c r="J938" s="4"/>
    </row>
    <row r="939" s="1" customFormat="1" ht="11.25">
      <c r="J939" s="4"/>
    </row>
    <row r="940" s="1" customFormat="1" ht="11.25">
      <c r="J940" s="4"/>
    </row>
    <row r="941" s="1" customFormat="1" ht="11.25">
      <c r="J941" s="4"/>
    </row>
    <row r="942" s="1" customFormat="1" ht="11.25">
      <c r="J942" s="4"/>
    </row>
    <row r="943" s="1" customFormat="1" ht="11.25">
      <c r="J943" s="4"/>
    </row>
    <row r="944" s="1" customFormat="1" ht="11.25">
      <c r="J944" s="4"/>
    </row>
    <row r="945" s="1" customFormat="1" ht="11.25">
      <c r="J945" s="4"/>
    </row>
    <row r="946" s="1" customFormat="1" ht="11.25">
      <c r="J946" s="4"/>
    </row>
    <row r="947" s="1" customFormat="1" ht="11.25">
      <c r="J947" s="4"/>
    </row>
    <row r="948" s="1" customFormat="1" ht="11.25">
      <c r="J948" s="4"/>
    </row>
    <row r="949" s="1" customFormat="1" ht="11.25">
      <c r="J949" s="4"/>
    </row>
    <row r="950" s="1" customFormat="1" ht="11.25">
      <c r="J950" s="4"/>
    </row>
    <row r="951" s="1" customFormat="1" ht="11.25">
      <c r="J951" s="4"/>
    </row>
    <row r="952" s="1" customFormat="1" ht="11.25">
      <c r="J952" s="4"/>
    </row>
    <row r="953" s="1" customFormat="1" ht="11.25">
      <c r="J953" s="4"/>
    </row>
    <row r="954" s="1" customFormat="1" ht="11.25">
      <c r="J954" s="4"/>
    </row>
    <row r="955" s="1" customFormat="1" ht="11.25">
      <c r="J955" s="4"/>
    </row>
    <row r="956" s="1" customFormat="1" ht="11.25">
      <c r="J956" s="4"/>
    </row>
    <row r="957" s="1" customFormat="1" ht="11.25">
      <c r="J957" s="4"/>
    </row>
    <row r="958" s="1" customFormat="1" ht="11.25">
      <c r="J958" s="4"/>
    </row>
    <row r="959" s="1" customFormat="1" ht="11.25">
      <c r="J959" s="4"/>
    </row>
    <row r="960" s="1" customFormat="1" ht="11.25">
      <c r="J960" s="4"/>
    </row>
    <row r="961" s="1" customFormat="1" ht="11.25">
      <c r="J961" s="4"/>
    </row>
    <row r="962" s="1" customFormat="1" ht="11.25">
      <c r="J962" s="4"/>
    </row>
    <row r="963" s="1" customFormat="1" ht="11.25">
      <c r="J963" s="4"/>
    </row>
    <row r="964" s="1" customFormat="1" ht="11.25">
      <c r="J964" s="4"/>
    </row>
    <row r="965" s="1" customFormat="1" ht="11.25">
      <c r="J965" s="4"/>
    </row>
    <row r="966" s="1" customFormat="1" ht="11.25">
      <c r="J966" s="4"/>
    </row>
    <row r="967" s="1" customFormat="1" ht="11.25">
      <c r="J967" s="4"/>
    </row>
    <row r="968" s="1" customFormat="1" ht="11.25">
      <c r="J968" s="4"/>
    </row>
    <row r="969" s="1" customFormat="1" ht="11.25">
      <c r="J969" s="4"/>
    </row>
    <row r="970" s="1" customFormat="1" ht="11.25">
      <c r="J970" s="4"/>
    </row>
    <row r="971" s="1" customFormat="1" ht="11.25">
      <c r="J971" s="4"/>
    </row>
    <row r="972" s="1" customFormat="1" ht="11.25">
      <c r="J972" s="4"/>
    </row>
    <row r="973" s="1" customFormat="1" ht="11.25">
      <c r="J973" s="4"/>
    </row>
    <row r="974" s="1" customFormat="1" ht="11.25">
      <c r="J974" s="4"/>
    </row>
    <row r="975" s="1" customFormat="1" ht="11.25">
      <c r="J975" s="4"/>
    </row>
    <row r="976" s="1" customFormat="1" ht="11.25">
      <c r="J976" s="4"/>
    </row>
    <row r="977" s="1" customFormat="1" ht="11.25">
      <c r="J977" s="4"/>
    </row>
    <row r="978" s="1" customFormat="1" ht="11.25">
      <c r="J978" s="4"/>
    </row>
    <row r="979" s="1" customFormat="1" ht="11.25">
      <c r="J979" s="4"/>
    </row>
    <row r="980" s="1" customFormat="1" ht="11.25">
      <c r="J980" s="4"/>
    </row>
    <row r="981" s="1" customFormat="1" ht="11.25">
      <c r="J981" s="4"/>
    </row>
    <row r="982" s="1" customFormat="1" ht="11.25">
      <c r="J982" s="4"/>
    </row>
    <row r="983" s="1" customFormat="1" ht="11.25">
      <c r="J983" s="4"/>
    </row>
    <row r="984" s="1" customFormat="1" ht="11.25">
      <c r="J984" s="4"/>
    </row>
    <row r="985" s="1" customFormat="1" ht="11.25">
      <c r="J985" s="4"/>
    </row>
    <row r="986" s="1" customFormat="1" ht="11.25">
      <c r="J986" s="4"/>
    </row>
    <row r="987" s="1" customFormat="1" ht="11.25">
      <c r="J987" s="4"/>
    </row>
    <row r="988" s="1" customFormat="1" ht="11.25">
      <c r="J988" s="4"/>
    </row>
    <row r="989" s="1" customFormat="1" ht="11.25">
      <c r="J989" s="4"/>
    </row>
    <row r="990" s="1" customFormat="1" ht="11.25">
      <c r="J990" s="4"/>
    </row>
    <row r="991" s="1" customFormat="1" ht="11.25">
      <c r="J991" s="4"/>
    </row>
    <row r="992" s="1" customFormat="1" ht="11.25">
      <c r="J992" s="4"/>
    </row>
    <row r="993" s="1" customFormat="1" ht="11.25">
      <c r="J993" s="4"/>
    </row>
    <row r="994" s="1" customFormat="1" ht="11.25">
      <c r="J994" s="4"/>
    </row>
    <row r="995" s="1" customFormat="1" ht="11.25">
      <c r="J995" s="4"/>
    </row>
    <row r="996" s="1" customFormat="1" ht="11.25">
      <c r="J996" s="4"/>
    </row>
    <row r="997" s="1" customFormat="1" ht="11.25">
      <c r="J997" s="4"/>
    </row>
    <row r="998" s="1" customFormat="1" ht="11.25">
      <c r="J998" s="4"/>
    </row>
    <row r="999" s="1" customFormat="1" ht="11.25">
      <c r="J999" s="4"/>
    </row>
    <row r="1000" s="1" customFormat="1" ht="11.25">
      <c r="J1000" s="4"/>
    </row>
    <row r="1001" s="1" customFormat="1" ht="11.25">
      <c r="J1001" s="4"/>
    </row>
    <row r="1002" s="1" customFormat="1" ht="11.25">
      <c r="J1002" s="4"/>
    </row>
    <row r="1003" s="1" customFormat="1" ht="11.25">
      <c r="J1003" s="4"/>
    </row>
    <row r="1004" s="1" customFormat="1" ht="11.25">
      <c r="J1004" s="4"/>
    </row>
    <row r="1005" s="1" customFormat="1" ht="11.25">
      <c r="J1005" s="4"/>
    </row>
    <row r="1006" s="1" customFormat="1" ht="11.25">
      <c r="J1006" s="4"/>
    </row>
    <row r="1007" s="1" customFormat="1" ht="11.25">
      <c r="J1007" s="4"/>
    </row>
    <row r="1008" s="1" customFormat="1" ht="11.25">
      <c r="J1008" s="4"/>
    </row>
    <row r="1009" s="1" customFormat="1" ht="11.25">
      <c r="J1009" s="4"/>
    </row>
    <row r="1010" s="1" customFormat="1" ht="11.25">
      <c r="J1010" s="4"/>
    </row>
    <row r="1011" s="1" customFormat="1" ht="11.25">
      <c r="J1011" s="4"/>
    </row>
    <row r="1012" s="1" customFormat="1" ht="11.25">
      <c r="J1012" s="4"/>
    </row>
    <row r="1013" s="1" customFormat="1" ht="11.25">
      <c r="J1013" s="4"/>
    </row>
    <row r="1014" s="1" customFormat="1" ht="11.25">
      <c r="J1014" s="4"/>
    </row>
    <row r="1015" s="1" customFormat="1" ht="11.25">
      <c r="J1015" s="4"/>
    </row>
    <row r="1016" s="1" customFormat="1" ht="11.25">
      <c r="J1016" s="4"/>
    </row>
    <row r="1017" s="1" customFormat="1" ht="11.25">
      <c r="J1017" s="4"/>
    </row>
    <row r="1018" s="1" customFormat="1" ht="11.25">
      <c r="J1018" s="4"/>
    </row>
    <row r="1019" s="1" customFormat="1" ht="11.25">
      <c r="J1019" s="4"/>
    </row>
    <row r="1020" s="1" customFormat="1" ht="11.25">
      <c r="J1020" s="4"/>
    </row>
    <row r="1021" s="1" customFormat="1" ht="11.25">
      <c r="J1021" s="4"/>
    </row>
    <row r="1022" s="1" customFormat="1" ht="11.25">
      <c r="J1022" s="4"/>
    </row>
    <row r="1023" s="1" customFormat="1" ht="11.25">
      <c r="J1023" s="4"/>
    </row>
    <row r="1024" s="1" customFormat="1" ht="11.25">
      <c r="J1024" s="4"/>
    </row>
    <row r="1025" s="1" customFormat="1" ht="11.25">
      <c r="J1025" s="4"/>
    </row>
    <row r="1026" s="1" customFormat="1" ht="11.25">
      <c r="J1026" s="4"/>
    </row>
    <row r="1027" s="1" customFormat="1" ht="11.25">
      <c r="J1027" s="4"/>
    </row>
    <row r="1028" s="1" customFormat="1" ht="11.25">
      <c r="J1028" s="4"/>
    </row>
    <row r="1029" s="1" customFormat="1" ht="11.25">
      <c r="J1029" s="4"/>
    </row>
    <row r="1030" s="1" customFormat="1" ht="11.25">
      <c r="J1030" s="4"/>
    </row>
    <row r="1031" s="1" customFormat="1" ht="11.25">
      <c r="J1031" s="4"/>
    </row>
    <row r="1032" s="1" customFormat="1" ht="11.25">
      <c r="J1032" s="4"/>
    </row>
    <row r="1033" s="1" customFormat="1" ht="11.25">
      <c r="J1033" s="4"/>
    </row>
    <row r="1034" s="1" customFormat="1" ht="11.25">
      <c r="J1034" s="4"/>
    </row>
    <row r="1035" s="1" customFormat="1" ht="11.25">
      <c r="J1035" s="4"/>
    </row>
    <row r="1036" s="1" customFormat="1" ht="11.25">
      <c r="J1036" s="4"/>
    </row>
    <row r="1037" s="1" customFormat="1" ht="11.25">
      <c r="J1037" s="4"/>
    </row>
    <row r="1038" s="1" customFormat="1" ht="11.25">
      <c r="J1038" s="4"/>
    </row>
    <row r="1039" s="1" customFormat="1" ht="11.25">
      <c r="J1039" s="4"/>
    </row>
    <row r="1040" s="1" customFormat="1" ht="11.25">
      <c r="J1040" s="4"/>
    </row>
    <row r="1041" s="1" customFormat="1" ht="11.25">
      <c r="J1041" s="4"/>
    </row>
    <row r="1042" s="1" customFormat="1" ht="11.25">
      <c r="J1042" s="4"/>
    </row>
    <row r="1043" s="1" customFormat="1" ht="11.25">
      <c r="J1043" s="4"/>
    </row>
    <row r="1044" s="1" customFormat="1" ht="11.25">
      <c r="J1044" s="4"/>
    </row>
    <row r="1045" s="1" customFormat="1" ht="11.25">
      <c r="J1045" s="4"/>
    </row>
    <row r="1046" s="1" customFormat="1" ht="11.25">
      <c r="J1046" s="4"/>
    </row>
    <row r="1047" s="1" customFormat="1" ht="11.25">
      <c r="J1047" s="4"/>
    </row>
    <row r="1048" s="1" customFormat="1" ht="11.25">
      <c r="J1048" s="4"/>
    </row>
    <row r="1049" s="1" customFormat="1" ht="11.25">
      <c r="J1049" s="4"/>
    </row>
    <row r="1050" s="1" customFormat="1" ht="11.25">
      <c r="J1050" s="4"/>
    </row>
    <row r="1051" s="1" customFormat="1" ht="11.25">
      <c r="J1051" s="4"/>
    </row>
    <row r="1052" s="1" customFormat="1" ht="11.25">
      <c r="J1052" s="4"/>
    </row>
    <row r="1053" s="1" customFormat="1" ht="11.25">
      <c r="J1053" s="4"/>
    </row>
    <row r="1054" s="1" customFormat="1" ht="11.25">
      <c r="J1054" s="4"/>
    </row>
    <row r="1055" s="1" customFormat="1" ht="11.25">
      <c r="J1055" s="4"/>
    </row>
    <row r="1056" s="1" customFormat="1" ht="11.25">
      <c r="J1056" s="4"/>
    </row>
    <row r="1057" s="1" customFormat="1" ht="11.25">
      <c r="J1057" s="4"/>
    </row>
    <row r="1058" s="1" customFormat="1" ht="11.25">
      <c r="J1058" s="4"/>
    </row>
    <row r="1059" s="1" customFormat="1" ht="11.25">
      <c r="J1059" s="4"/>
    </row>
    <row r="1060" s="1" customFormat="1" ht="11.25">
      <c r="J1060" s="4"/>
    </row>
    <row r="1061" s="1" customFormat="1" ht="11.25">
      <c r="J1061" s="4"/>
    </row>
    <row r="1062" s="1" customFormat="1" ht="11.25">
      <c r="J1062" s="4"/>
    </row>
    <row r="1063" s="1" customFormat="1" ht="11.25">
      <c r="J1063" s="4"/>
    </row>
    <row r="1064" s="1" customFormat="1" ht="11.25">
      <c r="J1064" s="4"/>
    </row>
    <row r="1065" s="1" customFormat="1" ht="11.25">
      <c r="J1065" s="4"/>
    </row>
    <row r="1066" s="1" customFormat="1" ht="11.25">
      <c r="J1066" s="4"/>
    </row>
    <row r="1067" s="1" customFormat="1" ht="11.25">
      <c r="J1067" s="4"/>
    </row>
    <row r="1068" s="1" customFormat="1" ht="11.25">
      <c r="J1068" s="4"/>
    </row>
    <row r="1069" s="1" customFormat="1" ht="11.25">
      <c r="J1069" s="4"/>
    </row>
    <row r="1070" s="1" customFormat="1" ht="11.25">
      <c r="J1070" s="4"/>
    </row>
    <row r="1071" s="1" customFormat="1" ht="11.25">
      <c r="J1071" s="4"/>
    </row>
    <row r="1072" s="1" customFormat="1" ht="11.25">
      <c r="J1072" s="4"/>
    </row>
    <row r="1073" s="1" customFormat="1" ht="11.25">
      <c r="J1073" s="4"/>
    </row>
    <row r="1074" s="1" customFormat="1" ht="11.25">
      <c r="J1074" s="4"/>
    </row>
    <row r="1075" s="1" customFormat="1" ht="11.25">
      <c r="J1075" s="4"/>
    </row>
    <row r="1076" s="1" customFormat="1" ht="11.25">
      <c r="J1076" s="4"/>
    </row>
    <row r="1077" s="1" customFormat="1" ht="11.25">
      <c r="J1077" s="4"/>
    </row>
    <row r="1078" s="1" customFormat="1" ht="11.25">
      <c r="J1078" s="4"/>
    </row>
    <row r="1079" s="1" customFormat="1" ht="11.25">
      <c r="J1079" s="4"/>
    </row>
    <row r="1080" s="1" customFormat="1" ht="11.25">
      <c r="J1080" s="4"/>
    </row>
    <row r="1081" s="1" customFormat="1" ht="11.25">
      <c r="J1081" s="4"/>
    </row>
    <row r="1082" s="1" customFormat="1" ht="11.25">
      <c r="J1082" s="4"/>
    </row>
    <row r="1083" s="1" customFormat="1" ht="11.25">
      <c r="J1083" s="4"/>
    </row>
    <row r="1084" s="1" customFormat="1" ht="11.25">
      <c r="J1084" s="4"/>
    </row>
    <row r="1085" s="1" customFormat="1" ht="11.25">
      <c r="J1085" s="4"/>
    </row>
    <row r="1086" s="1" customFormat="1" ht="11.25">
      <c r="J1086" s="4"/>
    </row>
    <row r="1087" s="1" customFormat="1" ht="11.25">
      <c r="J1087" s="4"/>
    </row>
    <row r="1088" s="1" customFormat="1" ht="11.25">
      <c r="J1088" s="4"/>
    </row>
    <row r="1089" s="1" customFormat="1" ht="11.25">
      <c r="J1089" s="4"/>
    </row>
    <row r="1090" s="1" customFormat="1" ht="11.25">
      <c r="J1090" s="4"/>
    </row>
    <row r="1091" s="1" customFormat="1" ht="11.25">
      <c r="J1091" s="4"/>
    </row>
    <row r="1092" s="1" customFormat="1" ht="11.25">
      <c r="J1092" s="4"/>
    </row>
    <row r="1093" s="1" customFormat="1" ht="11.25">
      <c r="J1093" s="4"/>
    </row>
    <row r="1094" s="1" customFormat="1" ht="11.25">
      <c r="J1094" s="4"/>
    </row>
    <row r="1095" s="1" customFormat="1" ht="11.25">
      <c r="J1095" s="4"/>
    </row>
    <row r="1096" s="1" customFormat="1" ht="11.25">
      <c r="J1096" s="4"/>
    </row>
    <row r="1097" s="1" customFormat="1" ht="11.25">
      <c r="J1097" s="4"/>
    </row>
    <row r="1098" s="1" customFormat="1" ht="11.25">
      <c r="J1098" s="4"/>
    </row>
    <row r="1099" s="1" customFormat="1" ht="11.25">
      <c r="J1099" s="4"/>
    </row>
    <row r="1100" s="1" customFormat="1" ht="11.25">
      <c r="J1100" s="4"/>
    </row>
    <row r="1101" s="1" customFormat="1" ht="11.25">
      <c r="J1101" s="4"/>
    </row>
    <row r="1102" s="1" customFormat="1" ht="11.25">
      <c r="J1102" s="4"/>
    </row>
    <row r="1103" s="1" customFormat="1" ht="11.25">
      <c r="J1103" s="4"/>
    </row>
    <row r="1104" s="1" customFormat="1" ht="11.25">
      <c r="J1104" s="4"/>
    </row>
    <row r="1105" s="1" customFormat="1" ht="11.25">
      <c r="J1105" s="4"/>
    </row>
    <row r="1106" s="1" customFormat="1" ht="11.25">
      <c r="J1106" s="4"/>
    </row>
    <row r="1107" s="1" customFormat="1" ht="11.25">
      <c r="J1107" s="4"/>
    </row>
    <row r="1108" s="1" customFormat="1" ht="11.25">
      <c r="J1108" s="4"/>
    </row>
    <row r="1109" s="1" customFormat="1" ht="11.25">
      <c r="J1109" s="4"/>
    </row>
    <row r="1110" s="1" customFormat="1" ht="11.25">
      <c r="J1110" s="4"/>
    </row>
    <row r="1111" s="1" customFormat="1" ht="11.25">
      <c r="J1111" s="4"/>
    </row>
    <row r="1112" s="1" customFormat="1" ht="11.25">
      <c r="J1112" s="4"/>
    </row>
    <row r="1113" s="1" customFormat="1" ht="11.25">
      <c r="J1113" s="4"/>
    </row>
    <row r="1114" s="1" customFormat="1" ht="11.25">
      <c r="J1114" s="4"/>
    </row>
    <row r="1115" s="1" customFormat="1" ht="11.25">
      <c r="J1115" s="4"/>
    </row>
    <row r="1116" s="1" customFormat="1" ht="11.25">
      <c r="J1116" s="4"/>
    </row>
    <row r="1117" s="1" customFormat="1" ht="11.25">
      <c r="J1117" s="4"/>
    </row>
    <row r="1118" s="1" customFormat="1" ht="11.25">
      <c r="J1118" s="4"/>
    </row>
    <row r="1119" s="1" customFormat="1" ht="11.25">
      <c r="J1119" s="4"/>
    </row>
    <row r="1120" s="1" customFormat="1" ht="11.25">
      <c r="J1120" s="4"/>
    </row>
    <row r="1121" s="1" customFormat="1" ht="11.25">
      <c r="J1121" s="4"/>
    </row>
    <row r="1122" s="1" customFormat="1" ht="11.25">
      <c r="J1122" s="4"/>
    </row>
    <row r="1123" s="1" customFormat="1" ht="11.25">
      <c r="J1123" s="4"/>
    </row>
    <row r="1124" s="1" customFormat="1" ht="11.25">
      <c r="J1124" s="4"/>
    </row>
    <row r="1125" s="1" customFormat="1" ht="11.25">
      <c r="J1125" s="4"/>
    </row>
    <row r="1126" s="1" customFormat="1" ht="11.25">
      <c r="J1126" s="4"/>
    </row>
    <row r="1127" s="1" customFormat="1" ht="11.25">
      <c r="J1127" s="4"/>
    </row>
    <row r="1128" s="1" customFormat="1" ht="11.25">
      <c r="J1128" s="4"/>
    </row>
    <row r="1129" s="1" customFormat="1" ht="11.25">
      <c r="J1129" s="4"/>
    </row>
    <row r="1130" s="1" customFormat="1" ht="11.25">
      <c r="J1130" s="4"/>
    </row>
    <row r="1131" s="1" customFormat="1" ht="11.25">
      <c r="J1131" s="4"/>
    </row>
    <row r="1132" s="1" customFormat="1" ht="11.25">
      <c r="J1132" s="4"/>
    </row>
    <row r="1133" s="1" customFormat="1" ht="11.25">
      <c r="J1133" s="4"/>
    </row>
    <row r="1134" s="1" customFormat="1" ht="11.25">
      <c r="J1134" s="4"/>
    </row>
    <row r="1135" s="1" customFormat="1" ht="11.25">
      <c r="J1135" s="4"/>
    </row>
    <row r="1136" s="1" customFormat="1" ht="11.25">
      <c r="J1136" s="4"/>
    </row>
    <row r="1137" s="1" customFormat="1" ht="11.25">
      <c r="J1137" s="4"/>
    </row>
    <row r="1138" s="1" customFormat="1" ht="11.25">
      <c r="J1138" s="4"/>
    </row>
    <row r="1139" s="1" customFormat="1" ht="11.25">
      <c r="J1139" s="4"/>
    </row>
    <row r="1140" s="1" customFormat="1" ht="11.25">
      <c r="J1140" s="4"/>
    </row>
    <row r="1141" s="1" customFormat="1" ht="11.25">
      <c r="J1141" s="4"/>
    </row>
    <row r="1142" s="1" customFormat="1" ht="11.25">
      <c r="J1142" s="4"/>
    </row>
    <row r="1143" s="1" customFormat="1" ht="11.25">
      <c r="J1143" s="4"/>
    </row>
    <row r="1144" s="1" customFormat="1" ht="11.25">
      <c r="J1144" s="4"/>
    </row>
    <row r="1145" s="1" customFormat="1" ht="11.25">
      <c r="J1145" s="4"/>
    </row>
    <row r="1146" s="1" customFormat="1" ht="11.25">
      <c r="J1146" s="4"/>
    </row>
    <row r="1147" s="1" customFormat="1" ht="11.25">
      <c r="J1147" s="4"/>
    </row>
    <row r="1148" s="1" customFormat="1" ht="11.25">
      <c r="J1148" s="4"/>
    </row>
    <row r="1149" s="1" customFormat="1" ht="11.25">
      <c r="J1149" s="4"/>
    </row>
    <row r="1150" s="1" customFormat="1" ht="11.25">
      <c r="J1150" s="4"/>
    </row>
    <row r="1151" s="1" customFormat="1" ht="11.25">
      <c r="J1151" s="4"/>
    </row>
    <row r="1152" s="1" customFormat="1" ht="11.25">
      <c r="J1152" s="4"/>
    </row>
    <row r="1153" s="1" customFormat="1" ht="11.25">
      <c r="J1153" s="4"/>
    </row>
    <row r="1154" s="1" customFormat="1" ht="11.25">
      <c r="J1154" s="4"/>
    </row>
    <row r="1155" s="1" customFormat="1" ht="11.25">
      <c r="J1155" s="4"/>
    </row>
    <row r="1156" s="1" customFormat="1" ht="11.25">
      <c r="J1156" s="4"/>
    </row>
    <row r="1157" s="1" customFormat="1" ht="11.25">
      <c r="J1157" s="4"/>
    </row>
    <row r="1158" s="1" customFormat="1" ht="11.25">
      <c r="J1158" s="4"/>
    </row>
    <row r="1159" s="1" customFormat="1" ht="11.25">
      <c r="J1159" s="4"/>
    </row>
    <row r="1160" s="1" customFormat="1" ht="11.25">
      <c r="J1160" s="4"/>
    </row>
    <row r="1161" s="1" customFormat="1" ht="11.25">
      <c r="J1161" s="4"/>
    </row>
    <row r="1162" s="1" customFormat="1" ht="11.25">
      <c r="J1162" s="4"/>
    </row>
    <row r="1163" s="1" customFormat="1" ht="11.25">
      <c r="J1163" s="4"/>
    </row>
    <row r="1164" s="1" customFormat="1" ht="11.25">
      <c r="J1164" s="4"/>
    </row>
    <row r="1165" s="1" customFormat="1" ht="11.25">
      <c r="J1165" s="4"/>
    </row>
    <row r="1166" s="1" customFormat="1" ht="11.25">
      <c r="J1166" s="4"/>
    </row>
    <row r="1167" s="1" customFormat="1" ht="11.25">
      <c r="J1167" s="4"/>
    </row>
    <row r="1168" s="1" customFormat="1" ht="11.25">
      <c r="J1168" s="4"/>
    </row>
    <row r="1169" s="1" customFormat="1" ht="11.25">
      <c r="J1169" s="4"/>
    </row>
    <row r="1170" s="1" customFormat="1" ht="11.25">
      <c r="J1170" s="4"/>
    </row>
    <row r="1171" s="1" customFormat="1" ht="11.25">
      <c r="J1171" s="4"/>
    </row>
    <row r="1172" s="1" customFormat="1" ht="11.25">
      <c r="J1172" s="4"/>
    </row>
    <row r="1173" s="1" customFormat="1" ht="11.25">
      <c r="J1173" s="4"/>
    </row>
    <row r="1174" s="1" customFormat="1" ht="11.25">
      <c r="J1174" s="4"/>
    </row>
    <row r="1175" s="1" customFormat="1" ht="11.25">
      <c r="J1175" s="4"/>
    </row>
    <row r="1176" s="1" customFormat="1" ht="11.25">
      <c r="J1176" s="4"/>
    </row>
    <row r="1177" s="1" customFormat="1" ht="11.25">
      <c r="J1177" s="4"/>
    </row>
    <row r="1178" s="1" customFormat="1" ht="11.25">
      <c r="J1178" s="4"/>
    </row>
    <row r="1179" s="1" customFormat="1" ht="11.25">
      <c r="J1179" s="4"/>
    </row>
    <row r="1180" s="1" customFormat="1" ht="11.25">
      <c r="J1180" s="4"/>
    </row>
    <row r="1181" s="1" customFormat="1" ht="11.25">
      <c r="J1181" s="4"/>
    </row>
    <row r="1182" s="1" customFormat="1" ht="11.25">
      <c r="J1182" s="4"/>
    </row>
    <row r="1183" s="1" customFormat="1" ht="11.25">
      <c r="J1183" s="4"/>
    </row>
    <row r="1184" s="1" customFormat="1" ht="11.25">
      <c r="J1184" s="4"/>
    </row>
    <row r="1185" s="1" customFormat="1" ht="11.25">
      <c r="J1185" s="4"/>
    </row>
    <row r="1186" s="1" customFormat="1" ht="11.25">
      <c r="J1186" s="4"/>
    </row>
    <row r="1187" s="1" customFormat="1" ht="11.25">
      <c r="J1187" s="4"/>
    </row>
    <row r="1188" s="1" customFormat="1" ht="11.25">
      <c r="J1188" s="4"/>
    </row>
    <row r="1189" s="1" customFormat="1" ht="11.25">
      <c r="J1189" s="4"/>
    </row>
    <row r="1190" s="1" customFormat="1" ht="11.25">
      <c r="J1190" s="4"/>
    </row>
    <row r="1191" s="1" customFormat="1" ht="11.25">
      <c r="J1191" s="4"/>
    </row>
    <row r="1192" s="1" customFormat="1" ht="11.25">
      <c r="J1192" s="4"/>
    </row>
    <row r="1193" s="1" customFormat="1" ht="11.25">
      <c r="J1193" s="4"/>
    </row>
    <row r="1194" s="1" customFormat="1" ht="11.25">
      <c r="J1194" s="4"/>
    </row>
    <row r="1195" s="1" customFormat="1" ht="11.25">
      <c r="J1195" s="4"/>
    </row>
    <row r="1196" s="1" customFormat="1" ht="11.25">
      <c r="J1196" s="4"/>
    </row>
    <row r="1197" s="1" customFormat="1" ht="11.25">
      <c r="J1197" s="4"/>
    </row>
    <row r="1198" s="1" customFormat="1" ht="11.25">
      <c r="J1198" s="4"/>
    </row>
    <row r="1199" s="1" customFormat="1" ht="11.25">
      <c r="J1199" s="4"/>
    </row>
    <row r="1200" s="1" customFormat="1" ht="11.25">
      <c r="J1200" s="4"/>
    </row>
    <row r="1201" s="1" customFormat="1" ht="11.25">
      <c r="J1201" s="4"/>
    </row>
    <row r="1202" s="1" customFormat="1" ht="11.25">
      <c r="J1202" s="4"/>
    </row>
    <row r="1203" s="1" customFormat="1" ht="11.25">
      <c r="J1203" s="4"/>
    </row>
    <row r="1204" s="1" customFormat="1" ht="11.25">
      <c r="J1204" s="4"/>
    </row>
    <row r="1205" s="1" customFormat="1" ht="11.25">
      <c r="J1205" s="4"/>
    </row>
    <row r="1206" s="1" customFormat="1" ht="11.25">
      <c r="J1206" s="4"/>
    </row>
    <row r="1207" s="1" customFormat="1" ht="11.25">
      <c r="J1207" s="4"/>
    </row>
    <row r="1208" s="1" customFormat="1" ht="11.25">
      <c r="J1208" s="4"/>
    </row>
    <row r="1209" s="1" customFormat="1" ht="11.25">
      <c r="J1209" s="4"/>
    </row>
    <row r="1210" s="1" customFormat="1" ht="11.25">
      <c r="J1210" s="4"/>
    </row>
    <row r="1211" s="1" customFormat="1" ht="11.25">
      <c r="J1211" s="4"/>
    </row>
    <row r="1212" s="1" customFormat="1" ht="11.25">
      <c r="J1212" s="4"/>
    </row>
    <row r="1213" s="1" customFormat="1" ht="11.25">
      <c r="J1213" s="4"/>
    </row>
    <row r="1214" s="1" customFormat="1" ht="11.25">
      <c r="J1214" s="4"/>
    </row>
    <row r="1215" s="1" customFormat="1" ht="11.25">
      <c r="J1215" s="4"/>
    </row>
    <row r="1216" s="1" customFormat="1" ht="11.25">
      <c r="J1216" s="4"/>
    </row>
    <row r="1217" s="1" customFormat="1" ht="11.25">
      <c r="J1217" s="4"/>
    </row>
    <row r="1218" s="1" customFormat="1" ht="11.25">
      <c r="J1218" s="4"/>
    </row>
    <row r="1219" s="1" customFormat="1" ht="11.25">
      <c r="J1219" s="4"/>
    </row>
    <row r="1220" s="1" customFormat="1" ht="11.25">
      <c r="J1220" s="4"/>
    </row>
    <row r="1221" s="1" customFormat="1" ht="11.25">
      <c r="J1221" s="4"/>
    </row>
    <row r="1222" s="1" customFormat="1" ht="11.25">
      <c r="J1222" s="4"/>
    </row>
    <row r="1223" s="1" customFormat="1" ht="11.25">
      <c r="J1223" s="4"/>
    </row>
    <row r="1224" s="1" customFormat="1" ht="11.25">
      <c r="J1224" s="4"/>
    </row>
    <row r="1225" s="1" customFormat="1" ht="11.25">
      <c r="J1225" s="4"/>
    </row>
    <row r="1226" s="1" customFormat="1" ht="11.25">
      <c r="J1226" s="4"/>
    </row>
    <row r="1227" s="1" customFormat="1" ht="11.25">
      <c r="J1227" s="4"/>
    </row>
    <row r="1228" s="1" customFormat="1" ht="11.25">
      <c r="J1228" s="4"/>
    </row>
    <row r="1229" s="1" customFormat="1" ht="11.25">
      <c r="J1229" s="4"/>
    </row>
    <row r="1230" s="1" customFormat="1" ht="11.25">
      <c r="J1230" s="4"/>
    </row>
    <row r="1231" s="1" customFormat="1" ht="11.25">
      <c r="J1231" s="4"/>
    </row>
    <row r="1232" s="1" customFormat="1" ht="11.25">
      <c r="J1232" s="4"/>
    </row>
    <row r="1233" s="1" customFormat="1" ht="11.25">
      <c r="J1233" s="4"/>
    </row>
    <row r="1234" s="1" customFormat="1" ht="11.25">
      <c r="J1234" s="4"/>
    </row>
    <row r="1235" s="1" customFormat="1" ht="11.25">
      <c r="J1235" s="4"/>
    </row>
    <row r="1236" s="1" customFormat="1" ht="11.25">
      <c r="J1236" s="4"/>
    </row>
    <row r="1237" s="1" customFormat="1" ht="11.25">
      <c r="J1237" s="4"/>
    </row>
    <row r="1238" s="1" customFormat="1" ht="11.25">
      <c r="J1238" s="4"/>
    </row>
    <row r="1239" s="1" customFormat="1" ht="11.25">
      <c r="J1239" s="4"/>
    </row>
    <row r="1240" s="1" customFormat="1" ht="11.25">
      <c r="J1240" s="4"/>
    </row>
    <row r="1241" s="1" customFormat="1" ht="11.25">
      <c r="J1241" s="4"/>
    </row>
    <row r="1242" s="1" customFormat="1" ht="11.25">
      <c r="J1242" s="4"/>
    </row>
    <row r="1243" s="1" customFormat="1" ht="11.25">
      <c r="J1243" s="4"/>
    </row>
    <row r="1244" s="1" customFormat="1" ht="11.25">
      <c r="J1244" s="4"/>
    </row>
    <row r="1245" s="1" customFormat="1" ht="11.25">
      <c r="J1245" s="4"/>
    </row>
    <row r="1246" s="1" customFormat="1" ht="11.25">
      <c r="J1246" s="4"/>
    </row>
    <row r="1247" s="1" customFormat="1" ht="11.25">
      <c r="J1247" s="4"/>
    </row>
    <row r="1248" s="1" customFormat="1" ht="11.25">
      <c r="J1248" s="4"/>
    </row>
    <row r="1249" s="1" customFormat="1" ht="11.25">
      <c r="J1249" s="4"/>
    </row>
    <row r="1250" s="1" customFormat="1" ht="11.25">
      <c r="J1250" s="4"/>
    </row>
    <row r="1251" s="1" customFormat="1" ht="11.25">
      <c r="J1251" s="4"/>
    </row>
    <row r="1252" s="1" customFormat="1" ht="11.25">
      <c r="J1252" s="4"/>
    </row>
    <row r="1253" s="1" customFormat="1" ht="11.25">
      <c r="J1253" s="4"/>
    </row>
    <row r="1254" s="1" customFormat="1" ht="11.25">
      <c r="J1254" s="4"/>
    </row>
    <row r="1255" s="1" customFormat="1" ht="11.25">
      <c r="J1255" s="4"/>
    </row>
    <row r="1256" s="1" customFormat="1" ht="11.25">
      <c r="J1256" s="4"/>
    </row>
    <row r="1257" s="1" customFormat="1" ht="11.25">
      <c r="J1257" s="4"/>
    </row>
    <row r="1258" s="1" customFormat="1" ht="11.25">
      <c r="J1258" s="4"/>
    </row>
    <row r="1259" s="1" customFormat="1" ht="11.25">
      <c r="J1259" s="4"/>
    </row>
    <row r="1260" s="1" customFormat="1" ht="11.25">
      <c r="J1260" s="4"/>
    </row>
    <row r="1261" s="1" customFormat="1" ht="11.25">
      <c r="J1261" s="4"/>
    </row>
    <row r="1262" s="1" customFormat="1" ht="11.25">
      <c r="J1262" s="4"/>
    </row>
    <row r="1263" s="1" customFormat="1" ht="11.25">
      <c r="J1263" s="4"/>
    </row>
    <row r="1264" s="1" customFormat="1" ht="11.25">
      <c r="J1264" s="4"/>
    </row>
    <row r="1265" s="1" customFormat="1" ht="11.25">
      <c r="J1265" s="4"/>
    </row>
    <row r="1266" s="1" customFormat="1" ht="11.25">
      <c r="J1266" s="4"/>
    </row>
    <row r="1267" s="1" customFormat="1" ht="11.25">
      <c r="J1267" s="4"/>
    </row>
    <row r="1268" s="1" customFormat="1" ht="11.25">
      <c r="J1268" s="4"/>
    </row>
    <row r="1269" s="1" customFormat="1" ht="11.25">
      <c r="J1269" s="4"/>
    </row>
    <row r="1270" s="1" customFormat="1" ht="11.25">
      <c r="J1270" s="4"/>
    </row>
    <row r="1271" s="1" customFormat="1" ht="11.25">
      <c r="J1271" s="4"/>
    </row>
    <row r="1272" s="1" customFormat="1" ht="11.25">
      <c r="J1272" s="4"/>
    </row>
    <row r="1273" s="1" customFormat="1" ht="11.25">
      <c r="J1273" s="4"/>
    </row>
    <row r="1274" s="1" customFormat="1" ht="11.25">
      <c r="J1274" s="4"/>
    </row>
    <row r="1275" s="1" customFormat="1" ht="11.25">
      <c r="J1275" s="4"/>
    </row>
    <row r="1276" s="1" customFormat="1" ht="11.25">
      <c r="J1276" s="4"/>
    </row>
    <row r="1277" s="1" customFormat="1" ht="11.25">
      <c r="J1277" s="4"/>
    </row>
    <row r="1278" s="1" customFormat="1" ht="11.25">
      <c r="J1278" s="4"/>
    </row>
    <row r="1279" s="1" customFormat="1" ht="11.25">
      <c r="J1279" s="4"/>
    </row>
    <row r="1280" s="1" customFormat="1" ht="11.25">
      <c r="J1280" s="4"/>
    </row>
    <row r="1281" s="1" customFormat="1" ht="11.25">
      <c r="J1281" s="4"/>
    </row>
    <row r="1282" s="1" customFormat="1" ht="11.25">
      <c r="J1282" s="4"/>
    </row>
    <row r="1283" s="1" customFormat="1" ht="11.25">
      <c r="J1283" s="4"/>
    </row>
    <row r="1284" s="1" customFormat="1" ht="11.25">
      <c r="J1284" s="4"/>
    </row>
    <row r="1285" s="1" customFormat="1" ht="11.25">
      <c r="J1285" s="4"/>
    </row>
    <row r="1286" s="1" customFormat="1" ht="11.25">
      <c r="J1286" s="4"/>
    </row>
    <row r="1287" s="1" customFormat="1" ht="11.25">
      <c r="J1287" s="4"/>
    </row>
    <row r="1288" s="1" customFormat="1" ht="11.25">
      <c r="J1288" s="4"/>
    </row>
    <row r="1289" s="1" customFormat="1" ht="11.25">
      <c r="J1289" s="4"/>
    </row>
    <row r="1290" s="1" customFormat="1" ht="11.25">
      <c r="J1290" s="4"/>
    </row>
    <row r="1291" s="1" customFormat="1" ht="11.25">
      <c r="J1291" s="4"/>
    </row>
    <row r="1292" s="1" customFormat="1" ht="11.25">
      <c r="J1292" s="4"/>
    </row>
    <row r="1293" s="1" customFormat="1" ht="11.25">
      <c r="J1293" s="4"/>
    </row>
    <row r="1294" s="1" customFormat="1" ht="11.25">
      <c r="J1294" s="4"/>
    </row>
    <row r="1295" s="1" customFormat="1" ht="11.25">
      <c r="J1295" s="4"/>
    </row>
    <row r="1296" s="1" customFormat="1" ht="11.25">
      <c r="J1296" s="4"/>
    </row>
    <row r="1297" s="1" customFormat="1" ht="11.25">
      <c r="J1297" s="4"/>
    </row>
    <row r="1298" s="1" customFormat="1" ht="11.25">
      <c r="J1298" s="4"/>
    </row>
    <row r="1299" s="1" customFormat="1" ht="11.25">
      <c r="J1299" s="4"/>
    </row>
    <row r="1300" s="1" customFormat="1" ht="11.25">
      <c r="J1300" s="4"/>
    </row>
    <row r="1301" s="1" customFormat="1" ht="11.25">
      <c r="J1301" s="4"/>
    </row>
    <row r="1302" s="1" customFormat="1" ht="11.25">
      <c r="J1302" s="4"/>
    </row>
    <row r="1303" s="1" customFormat="1" ht="11.25">
      <c r="J1303" s="4"/>
    </row>
    <row r="1304" s="1" customFormat="1" ht="11.25">
      <c r="J1304" s="4"/>
    </row>
    <row r="1305" s="1" customFormat="1" ht="11.25">
      <c r="J1305" s="4"/>
    </row>
    <row r="1306" s="1" customFormat="1" ht="11.25">
      <c r="J1306" s="4"/>
    </row>
    <row r="1307" s="1" customFormat="1" ht="11.25">
      <c r="J1307" s="4"/>
    </row>
    <row r="1308" s="1" customFormat="1" ht="11.25">
      <c r="J1308" s="4"/>
    </row>
    <row r="1309" s="1" customFormat="1" ht="11.25">
      <c r="J1309" s="4"/>
    </row>
    <row r="1310" s="1" customFormat="1" ht="11.25">
      <c r="J1310" s="4"/>
    </row>
    <row r="1311" s="1" customFormat="1" ht="11.25">
      <c r="J1311" s="4"/>
    </row>
    <row r="1312" s="1" customFormat="1" ht="11.25">
      <c r="J1312" s="4"/>
    </row>
    <row r="1313" s="1" customFormat="1" ht="11.25">
      <c r="J1313" s="4"/>
    </row>
    <row r="1314" s="1" customFormat="1" ht="11.25">
      <c r="J1314" s="4"/>
    </row>
    <row r="1315" s="1" customFormat="1" ht="11.25">
      <c r="J1315" s="4"/>
    </row>
    <row r="1316" s="1" customFormat="1" ht="11.25">
      <c r="J1316" s="4"/>
    </row>
    <row r="1317" s="1" customFormat="1" ht="11.25">
      <c r="J1317" s="4"/>
    </row>
    <row r="1318" s="1" customFormat="1" ht="11.25">
      <c r="J1318" s="4"/>
    </row>
    <row r="1319" s="1" customFormat="1" ht="11.25">
      <c r="J1319" s="4"/>
    </row>
    <row r="1320" s="1" customFormat="1" ht="11.25">
      <c r="J1320" s="4"/>
    </row>
    <row r="1321" s="1" customFormat="1" ht="11.25">
      <c r="J1321" s="4"/>
    </row>
    <row r="1322" s="1" customFormat="1" ht="11.25">
      <c r="J1322" s="4"/>
    </row>
    <row r="1323" s="1" customFormat="1" ht="11.25">
      <c r="J1323" s="4"/>
    </row>
    <row r="1324" s="1" customFormat="1" ht="11.25">
      <c r="J1324" s="4"/>
    </row>
    <row r="1325" s="1" customFormat="1" ht="11.25">
      <c r="J1325" s="4"/>
    </row>
    <row r="1326" s="1" customFormat="1" ht="11.25">
      <c r="J1326" s="4"/>
    </row>
    <row r="1327" s="1" customFormat="1" ht="11.25">
      <c r="J1327" s="4"/>
    </row>
    <row r="1328" s="1" customFormat="1" ht="11.25">
      <c r="J1328" s="4"/>
    </row>
    <row r="1329" s="1" customFormat="1" ht="11.25">
      <c r="J1329" s="4"/>
    </row>
    <row r="1330" s="1" customFormat="1" ht="11.25">
      <c r="J1330" s="4"/>
    </row>
    <row r="1331" s="1" customFormat="1" ht="11.25">
      <c r="J1331" s="4"/>
    </row>
    <row r="1332" s="1" customFormat="1" ht="11.25">
      <c r="J1332" s="4"/>
    </row>
    <row r="1333" s="1" customFormat="1" ht="11.25">
      <c r="J1333" s="4"/>
    </row>
    <row r="1334" s="1" customFormat="1" ht="11.25">
      <c r="J1334" s="4"/>
    </row>
    <row r="1335" s="1" customFormat="1" ht="11.25">
      <c r="J1335" s="4"/>
    </row>
    <row r="1336" s="1" customFormat="1" ht="11.25">
      <c r="J1336" s="4"/>
    </row>
    <row r="1337" s="1" customFormat="1" ht="11.25">
      <c r="J1337" s="4"/>
    </row>
    <row r="1338" s="1" customFormat="1" ht="11.25">
      <c r="J1338" s="4"/>
    </row>
    <row r="1339" s="1" customFormat="1" ht="11.25">
      <c r="J1339" s="4"/>
    </row>
    <row r="1340" s="1" customFormat="1" ht="11.25">
      <c r="J1340" s="4"/>
    </row>
    <row r="1341" s="1" customFormat="1" ht="11.25">
      <c r="J1341" s="4"/>
    </row>
    <row r="1342" s="1" customFormat="1" ht="11.25">
      <c r="J1342" s="4"/>
    </row>
    <row r="1343" s="1" customFormat="1" ht="11.25">
      <c r="J1343" s="4"/>
    </row>
    <row r="1344" s="1" customFormat="1" ht="11.25">
      <c r="J1344" s="4"/>
    </row>
    <row r="1345" s="1" customFormat="1" ht="11.25">
      <c r="J1345" s="4"/>
    </row>
    <row r="1346" s="1" customFormat="1" ht="11.25">
      <c r="J1346" s="4"/>
    </row>
    <row r="1347" s="1" customFormat="1" ht="11.25">
      <c r="J1347" s="4"/>
    </row>
    <row r="1348" s="1" customFormat="1" ht="11.25">
      <c r="J1348" s="4"/>
    </row>
    <row r="1349" s="1" customFormat="1" ht="11.25">
      <c r="J1349" s="4"/>
    </row>
    <row r="1350" s="1" customFormat="1" ht="11.25">
      <c r="J1350" s="4"/>
    </row>
    <row r="1351" s="1" customFormat="1" ht="11.25">
      <c r="J1351" s="4"/>
    </row>
    <row r="1352" s="1" customFormat="1" ht="11.25">
      <c r="J1352" s="4"/>
    </row>
    <row r="1353" s="1" customFormat="1" ht="11.25">
      <c r="J1353" s="4"/>
    </row>
    <row r="1354" s="1" customFormat="1" ht="11.25">
      <c r="J1354" s="4"/>
    </row>
    <row r="1355" s="1" customFormat="1" ht="11.25">
      <c r="J1355" s="4"/>
    </row>
    <row r="1356" s="1" customFormat="1" ht="11.25">
      <c r="J1356" s="4"/>
    </row>
    <row r="1357" s="1" customFormat="1" ht="11.25">
      <c r="J1357" s="4"/>
    </row>
    <row r="1358" s="1" customFormat="1" ht="11.25">
      <c r="J1358" s="4"/>
    </row>
    <row r="1359" s="1" customFormat="1" ht="11.25">
      <c r="J1359" s="4"/>
    </row>
    <row r="1360" s="1" customFormat="1" ht="11.25">
      <c r="J1360" s="4"/>
    </row>
    <row r="1361" s="1" customFormat="1" ht="11.25">
      <c r="J1361" s="4"/>
    </row>
    <row r="1362" s="1" customFormat="1" ht="11.25">
      <c r="J1362" s="4"/>
    </row>
    <row r="1363" s="1" customFormat="1" ht="11.25">
      <c r="J1363" s="4"/>
    </row>
    <row r="1364" s="1" customFormat="1" ht="11.25">
      <c r="J1364" s="4"/>
    </row>
    <row r="1365" s="1" customFormat="1" ht="11.25">
      <c r="J1365" s="4"/>
    </row>
    <row r="1366" s="1" customFormat="1" ht="11.25">
      <c r="J1366" s="4"/>
    </row>
    <row r="1367" s="1" customFormat="1" ht="11.25">
      <c r="J1367" s="4"/>
    </row>
    <row r="1368" s="1" customFormat="1" ht="11.25">
      <c r="J1368" s="4"/>
    </row>
    <row r="1369" s="1" customFormat="1" ht="11.25">
      <c r="J1369" s="4"/>
    </row>
    <row r="1370" s="1" customFormat="1" ht="11.25">
      <c r="J1370" s="4"/>
    </row>
    <row r="1371" s="1" customFormat="1" ht="11.25">
      <c r="J1371" s="4"/>
    </row>
    <row r="1372" s="1" customFormat="1" ht="11.25">
      <c r="J1372" s="4"/>
    </row>
    <row r="1373" s="1" customFormat="1" ht="11.25">
      <c r="J1373" s="4"/>
    </row>
    <row r="1374" s="1" customFormat="1" ht="11.25">
      <c r="J1374" s="4"/>
    </row>
    <row r="1375" s="1" customFormat="1" ht="11.25">
      <c r="J1375" s="4"/>
    </row>
    <row r="1376" s="1" customFormat="1" ht="11.25">
      <c r="J1376" s="4"/>
    </row>
    <row r="1377" s="1" customFormat="1" ht="11.25">
      <c r="J1377" s="4"/>
    </row>
    <row r="1378" s="1" customFormat="1" ht="11.25">
      <c r="J1378" s="4"/>
    </row>
    <row r="1379" s="1" customFormat="1" ht="11.25">
      <c r="J1379" s="4"/>
    </row>
    <row r="1380" s="1" customFormat="1" ht="11.25">
      <c r="J1380" s="4"/>
    </row>
    <row r="1381" s="1" customFormat="1" ht="11.25">
      <c r="J1381" s="4"/>
    </row>
    <row r="1382" s="1" customFormat="1" ht="11.25">
      <c r="J1382" s="4"/>
    </row>
    <row r="1383" s="1" customFormat="1" ht="11.25">
      <c r="J1383" s="4"/>
    </row>
    <row r="1384" s="1" customFormat="1" ht="11.25">
      <c r="J1384" s="4"/>
    </row>
    <row r="1385" s="1" customFormat="1" ht="11.25">
      <c r="J1385" s="4"/>
    </row>
    <row r="1386" s="1" customFormat="1" ht="11.25">
      <c r="J1386" s="4"/>
    </row>
    <row r="1387" s="1" customFormat="1" ht="11.25">
      <c r="J1387" s="4"/>
    </row>
    <row r="1388" s="1" customFormat="1" ht="11.25">
      <c r="J1388" s="4"/>
    </row>
    <row r="1389" s="1" customFormat="1" ht="11.25">
      <c r="J1389" s="4"/>
    </row>
    <row r="1390" s="1" customFormat="1" ht="11.25">
      <c r="J1390" s="4"/>
    </row>
    <row r="1391" s="1" customFormat="1" ht="11.25">
      <c r="J1391" s="4"/>
    </row>
    <row r="1392" s="1" customFormat="1" ht="11.25">
      <c r="J1392" s="4"/>
    </row>
    <row r="1393" s="1" customFormat="1" ht="11.25">
      <c r="J1393" s="4"/>
    </row>
    <row r="1394" s="1" customFormat="1" ht="11.25">
      <c r="J1394" s="4"/>
    </row>
    <row r="1395" s="1" customFormat="1" ht="11.25">
      <c r="J1395" s="4"/>
    </row>
    <row r="1396" s="1" customFormat="1" ht="11.25">
      <c r="J1396" s="4"/>
    </row>
    <row r="1397" s="1" customFormat="1" ht="11.25">
      <c r="J1397" s="4"/>
    </row>
    <row r="1398" s="1" customFormat="1" ht="11.25">
      <c r="J1398" s="4"/>
    </row>
    <row r="1399" s="1" customFormat="1" ht="11.25">
      <c r="J1399" s="4"/>
    </row>
    <row r="1400" s="1" customFormat="1" ht="11.25">
      <c r="J1400" s="4"/>
    </row>
    <row r="1401" s="1" customFormat="1" ht="11.25">
      <c r="J1401" s="4"/>
    </row>
    <row r="1402" s="1" customFormat="1" ht="11.25">
      <c r="J1402" s="4"/>
    </row>
    <row r="1403" s="1" customFormat="1" ht="11.25">
      <c r="J1403" s="4"/>
    </row>
    <row r="1404" s="1" customFormat="1" ht="11.25">
      <c r="J1404" s="4"/>
    </row>
    <row r="1405" s="1" customFormat="1" ht="11.25">
      <c r="J1405" s="4"/>
    </row>
    <row r="1406" s="1" customFormat="1" ht="11.25">
      <c r="J1406" s="4"/>
    </row>
    <row r="1407" s="1" customFormat="1" ht="11.25">
      <c r="J1407" s="4"/>
    </row>
    <row r="1408" s="1" customFormat="1" ht="11.25">
      <c r="J1408" s="4"/>
    </row>
    <row r="1409" s="1" customFormat="1" ht="11.25">
      <c r="J1409" s="4"/>
    </row>
    <row r="1410" s="1" customFormat="1" ht="11.25">
      <c r="J1410" s="4"/>
    </row>
    <row r="1411" s="1" customFormat="1" ht="11.25">
      <c r="J1411" s="4"/>
    </row>
    <row r="1412" s="1" customFormat="1" ht="11.25">
      <c r="J1412" s="4"/>
    </row>
    <row r="1413" s="1" customFormat="1" ht="11.25">
      <c r="J1413" s="4"/>
    </row>
    <row r="1414" s="1" customFormat="1" ht="11.25">
      <c r="J1414" s="4"/>
    </row>
    <row r="1415" s="1" customFormat="1" ht="11.25">
      <c r="J1415" s="4"/>
    </row>
    <row r="1416" s="1" customFormat="1" ht="11.25">
      <c r="J1416" s="4"/>
    </row>
    <row r="1417" s="1" customFormat="1" ht="11.25">
      <c r="J1417" s="4"/>
    </row>
    <row r="1418" s="1" customFormat="1" ht="11.25">
      <c r="J1418" s="4"/>
    </row>
    <row r="1419" s="1" customFormat="1" ht="11.25">
      <c r="J1419" s="4"/>
    </row>
    <row r="1420" s="1" customFormat="1" ht="11.25">
      <c r="J1420" s="4"/>
    </row>
    <row r="1421" s="1" customFormat="1" ht="11.25">
      <c r="J1421" s="4"/>
    </row>
    <row r="1422" s="1" customFormat="1" ht="11.25">
      <c r="J1422" s="4"/>
    </row>
    <row r="1423" s="1" customFormat="1" ht="11.25">
      <c r="J1423" s="4"/>
    </row>
    <row r="1424" s="1" customFormat="1" ht="11.25">
      <c r="J1424" s="4"/>
    </row>
    <row r="1425" s="1" customFormat="1" ht="11.25">
      <c r="J1425" s="4"/>
    </row>
    <row r="1426" s="1" customFormat="1" ht="11.25">
      <c r="J1426" s="4"/>
    </row>
    <row r="1427" s="1" customFormat="1" ht="11.25">
      <c r="J1427" s="4"/>
    </row>
    <row r="1428" s="1" customFormat="1" ht="11.25">
      <c r="J1428" s="4"/>
    </row>
    <row r="1429" s="1" customFormat="1" ht="11.25">
      <c r="J1429" s="4"/>
    </row>
    <row r="1430" s="1" customFormat="1" ht="11.25">
      <c r="J1430" s="4"/>
    </row>
    <row r="1431" s="1" customFormat="1" ht="11.25">
      <c r="J1431" s="4"/>
    </row>
    <row r="1432" s="1" customFormat="1" ht="11.25">
      <c r="J1432" s="4"/>
    </row>
    <row r="1433" s="1" customFormat="1" ht="11.25">
      <c r="J1433" s="4"/>
    </row>
    <row r="1434" s="1" customFormat="1" ht="11.25">
      <c r="J1434" s="4"/>
    </row>
    <row r="1435" s="1" customFormat="1" ht="11.25">
      <c r="J1435" s="4"/>
    </row>
    <row r="1436" s="1" customFormat="1" ht="11.25">
      <c r="J1436" s="4"/>
    </row>
    <row r="1437" s="1" customFormat="1" ht="11.25">
      <c r="J1437" s="4"/>
    </row>
    <row r="1438" s="1" customFormat="1" ht="11.25">
      <c r="J1438" s="4"/>
    </row>
    <row r="1439" s="1" customFormat="1" ht="11.25">
      <c r="J1439" s="4"/>
    </row>
    <row r="1440" s="1" customFormat="1" ht="11.25">
      <c r="J1440" s="4"/>
    </row>
    <row r="1441" s="1" customFormat="1" ht="11.25">
      <c r="J1441" s="4"/>
    </row>
    <row r="1442" s="1" customFormat="1" ht="11.25">
      <c r="J1442" s="4"/>
    </row>
    <row r="1443" s="1" customFormat="1" ht="11.25">
      <c r="J1443" s="4"/>
    </row>
    <row r="1444" s="1" customFormat="1" ht="11.25">
      <c r="J1444" s="4"/>
    </row>
    <row r="1445" s="1" customFormat="1" ht="11.25">
      <c r="J1445" s="4"/>
    </row>
    <row r="1446" s="1" customFormat="1" ht="11.25">
      <c r="J1446" s="4"/>
    </row>
    <row r="1447" s="1" customFormat="1" ht="11.25">
      <c r="J1447" s="4"/>
    </row>
    <row r="1448" s="1" customFormat="1" ht="11.25">
      <c r="J1448" s="4"/>
    </row>
    <row r="1449" s="1" customFormat="1" ht="11.25">
      <c r="J1449" s="4"/>
    </row>
    <row r="1450" s="1" customFormat="1" ht="11.25">
      <c r="J1450" s="4"/>
    </row>
    <row r="1451" s="1" customFormat="1" ht="11.25">
      <c r="J1451" s="4"/>
    </row>
    <row r="1452" s="1" customFormat="1" ht="11.25">
      <c r="J1452" s="4"/>
    </row>
    <row r="1453" s="1" customFormat="1" ht="11.25">
      <c r="J1453" s="4"/>
    </row>
    <row r="1454" s="1" customFormat="1" ht="11.25">
      <c r="J1454" s="4"/>
    </row>
    <row r="1455" s="1" customFormat="1" ht="11.25">
      <c r="J1455" s="4"/>
    </row>
    <row r="1456" s="1" customFormat="1" ht="11.25">
      <c r="J1456" s="4"/>
    </row>
    <row r="1457" s="1" customFormat="1" ht="11.25">
      <c r="J1457" s="4"/>
    </row>
    <row r="1458" s="1" customFormat="1" ht="11.25">
      <c r="J1458" s="4"/>
    </row>
    <row r="1459" s="1" customFormat="1" ht="11.25">
      <c r="J1459" s="4"/>
    </row>
    <row r="1460" s="1" customFormat="1" ht="11.25">
      <c r="J1460" s="4"/>
    </row>
    <row r="1461" s="1" customFormat="1" ht="11.25">
      <c r="J1461" s="4"/>
    </row>
    <row r="1462" s="1" customFormat="1" ht="11.25">
      <c r="J1462" s="4"/>
    </row>
    <row r="1463" s="1" customFormat="1" ht="11.25">
      <c r="J1463" s="4"/>
    </row>
    <row r="1464" s="1" customFormat="1" ht="11.25">
      <c r="J1464" s="4"/>
    </row>
    <row r="1465" s="1" customFormat="1" ht="11.25">
      <c r="J1465" s="4"/>
    </row>
    <row r="1466" s="1" customFormat="1" ht="11.25">
      <c r="J1466" s="4"/>
    </row>
    <row r="1467" s="1" customFormat="1" ht="11.25">
      <c r="J1467" s="4"/>
    </row>
    <row r="1468" s="1" customFormat="1" ht="11.25">
      <c r="J1468" s="4"/>
    </row>
    <row r="1469" s="1" customFormat="1" ht="11.25">
      <c r="J1469" s="4"/>
    </row>
    <row r="1470" s="1" customFormat="1" ht="11.25">
      <c r="J1470" s="4"/>
    </row>
    <row r="1471" s="1" customFormat="1" ht="11.25">
      <c r="J1471" s="4"/>
    </row>
    <row r="1472" s="1" customFormat="1" ht="11.25">
      <c r="J1472" s="4"/>
    </row>
    <row r="1473" s="1" customFormat="1" ht="11.25">
      <c r="J1473" s="4"/>
    </row>
    <row r="1474" s="1" customFormat="1" ht="11.25">
      <c r="J1474" s="4"/>
    </row>
    <row r="1475" s="1" customFormat="1" ht="11.25">
      <c r="J1475" s="4"/>
    </row>
    <row r="1476" s="1" customFormat="1" ht="11.25">
      <c r="J1476" s="4"/>
    </row>
    <row r="1477" s="1" customFormat="1" ht="11.25">
      <c r="J1477" s="4"/>
    </row>
    <row r="1478" s="1" customFormat="1" ht="11.25">
      <c r="J1478" s="4"/>
    </row>
    <row r="1479" s="1" customFormat="1" ht="11.25">
      <c r="J1479" s="4"/>
    </row>
    <row r="1480" s="1" customFormat="1" ht="11.25">
      <c r="J1480" s="4"/>
    </row>
    <row r="1481" s="1" customFormat="1" ht="11.25">
      <c r="J1481" s="4"/>
    </row>
    <row r="1482" s="1" customFormat="1" ht="11.25">
      <c r="J1482" s="4"/>
    </row>
    <row r="1483" s="1" customFormat="1" ht="11.25">
      <c r="J1483" s="4"/>
    </row>
    <row r="1484" s="1" customFormat="1" ht="11.25">
      <c r="J1484" s="4"/>
    </row>
    <row r="1485" s="1" customFormat="1" ht="11.25">
      <c r="J1485" s="4"/>
    </row>
    <row r="1486" s="1" customFormat="1" ht="11.25">
      <c r="J1486" s="4"/>
    </row>
    <row r="1487" s="1" customFormat="1" ht="11.25">
      <c r="J1487" s="4"/>
    </row>
    <row r="1488" s="1" customFormat="1" ht="11.25">
      <c r="J1488" s="4"/>
    </row>
    <row r="1489" s="1" customFormat="1" ht="11.25">
      <c r="J1489" s="4"/>
    </row>
    <row r="1490" s="1" customFormat="1" ht="11.25">
      <c r="J1490" s="4"/>
    </row>
    <row r="1491" s="1" customFormat="1" ht="11.25">
      <c r="J1491" s="4"/>
    </row>
    <row r="1492" s="1" customFormat="1" ht="11.25">
      <c r="J1492" s="4"/>
    </row>
    <row r="1493" s="1" customFormat="1" ht="11.25">
      <c r="J1493" s="4"/>
    </row>
    <row r="1494" s="1" customFormat="1" ht="11.25">
      <c r="J1494" s="4"/>
    </row>
    <row r="1495" s="1" customFormat="1" ht="11.25">
      <c r="J1495" s="4"/>
    </row>
    <row r="1496" s="1" customFormat="1" ht="11.25">
      <c r="J1496" s="4"/>
    </row>
    <row r="1497" s="1" customFormat="1" ht="11.25">
      <c r="J1497" s="4"/>
    </row>
    <row r="1498" s="1" customFormat="1" ht="11.25">
      <c r="J1498" s="4"/>
    </row>
    <row r="1499" s="1" customFormat="1" ht="11.25">
      <c r="J1499" s="4"/>
    </row>
    <row r="1500" s="1" customFormat="1" ht="11.25">
      <c r="J1500" s="4"/>
    </row>
    <row r="1501" s="1" customFormat="1" ht="11.25">
      <c r="J1501" s="4"/>
    </row>
    <row r="1502" s="1" customFormat="1" ht="11.25">
      <c r="J1502" s="4"/>
    </row>
    <row r="1503" s="1" customFormat="1" ht="11.25">
      <c r="J1503" s="4"/>
    </row>
    <row r="1504" s="1" customFormat="1" ht="11.25">
      <c r="J1504" s="4"/>
    </row>
    <row r="1505" s="1" customFormat="1" ht="11.25">
      <c r="J1505" s="4"/>
    </row>
    <row r="1506" s="1" customFormat="1" ht="11.25">
      <c r="J1506" s="4"/>
    </row>
    <row r="1507" s="1" customFormat="1" ht="11.25">
      <c r="J1507" s="4"/>
    </row>
    <row r="1508" s="1" customFormat="1" ht="11.25">
      <c r="J1508" s="4"/>
    </row>
    <row r="1509" s="1" customFormat="1" ht="11.25">
      <c r="J1509" s="4"/>
    </row>
    <row r="1510" s="1" customFormat="1" ht="11.25">
      <c r="J1510" s="4"/>
    </row>
    <row r="1511" s="1" customFormat="1" ht="11.25">
      <c r="J1511" s="4"/>
    </row>
    <row r="1512" s="1" customFormat="1" ht="11.25">
      <c r="J1512" s="4"/>
    </row>
    <row r="1513" s="1" customFormat="1" ht="11.25">
      <c r="J1513" s="4"/>
    </row>
    <row r="1514" s="1" customFormat="1" ht="11.25">
      <c r="J1514" s="4"/>
    </row>
    <row r="1515" s="1" customFormat="1" ht="11.25">
      <c r="J1515" s="4"/>
    </row>
    <row r="1516" s="1" customFormat="1" ht="11.25">
      <c r="J1516" s="4"/>
    </row>
    <row r="1517" s="1" customFormat="1" ht="11.25">
      <c r="J1517" s="4"/>
    </row>
    <row r="1518" s="1" customFormat="1" ht="11.25">
      <c r="J1518" s="4"/>
    </row>
    <row r="1519" s="1" customFormat="1" ht="11.25">
      <c r="J1519" s="4"/>
    </row>
    <row r="1520" s="1" customFormat="1" ht="11.25">
      <c r="J1520" s="4"/>
    </row>
    <row r="1521" s="1" customFormat="1" ht="11.25">
      <c r="J1521" s="4"/>
    </row>
    <row r="1522" s="1" customFormat="1" ht="11.25">
      <c r="J1522" s="4"/>
    </row>
    <row r="1523" s="1" customFormat="1" ht="11.25">
      <c r="J1523" s="4"/>
    </row>
    <row r="1524" s="1" customFormat="1" ht="11.25">
      <c r="J1524" s="4"/>
    </row>
    <row r="1525" s="1" customFormat="1" ht="11.25">
      <c r="J1525" s="4"/>
    </row>
    <row r="1526" s="1" customFormat="1" ht="11.25">
      <c r="J1526" s="4"/>
    </row>
    <row r="1527" s="1" customFormat="1" ht="11.25">
      <c r="J1527" s="4"/>
    </row>
    <row r="1528" s="1" customFormat="1" ht="11.25">
      <c r="J1528" s="4"/>
    </row>
    <row r="1529" s="1" customFormat="1" ht="11.25">
      <c r="J1529" s="4"/>
    </row>
    <row r="1530" s="1" customFormat="1" ht="11.25">
      <c r="J1530" s="4"/>
    </row>
    <row r="1531" s="1" customFormat="1" ht="11.25">
      <c r="J1531" s="4"/>
    </row>
    <row r="1532" s="1" customFormat="1" ht="11.25">
      <c r="J1532" s="4"/>
    </row>
    <row r="1533" s="1" customFormat="1" ht="11.25">
      <c r="J1533" s="4"/>
    </row>
    <row r="1534" s="1" customFormat="1" ht="11.25">
      <c r="J1534" s="4"/>
    </row>
    <row r="1535" s="1" customFormat="1" ht="11.25">
      <c r="J1535" s="4"/>
    </row>
    <row r="1536" s="1" customFormat="1" ht="11.25">
      <c r="J1536" s="4"/>
    </row>
    <row r="1537" s="1" customFormat="1" ht="11.25">
      <c r="J1537" s="4"/>
    </row>
    <row r="1538" s="1" customFormat="1" ht="11.25">
      <c r="J1538" s="4"/>
    </row>
    <row r="1539" s="1" customFormat="1" ht="11.25">
      <c r="J1539" s="4"/>
    </row>
    <row r="1540" s="1" customFormat="1" ht="11.25">
      <c r="J1540" s="4"/>
    </row>
    <row r="1541" s="1" customFormat="1" ht="11.25">
      <c r="J1541" s="4"/>
    </row>
    <row r="1542" s="1" customFormat="1" ht="11.25">
      <c r="J1542" s="4"/>
    </row>
    <row r="1543" s="1" customFormat="1" ht="11.25">
      <c r="J1543" s="4"/>
    </row>
    <row r="1544" s="1" customFormat="1" ht="11.25">
      <c r="J1544" s="4"/>
    </row>
    <row r="1545" s="1" customFormat="1" ht="11.25">
      <c r="J1545" s="4"/>
    </row>
    <row r="1546" s="1" customFormat="1" ht="11.25">
      <c r="J1546" s="4"/>
    </row>
    <row r="1547" s="1" customFormat="1" ht="11.25">
      <c r="J1547" s="4"/>
    </row>
    <row r="1548" s="1" customFormat="1" ht="11.25">
      <c r="J1548" s="4"/>
    </row>
    <row r="1549" s="1" customFormat="1" ht="11.25">
      <c r="J1549" s="4"/>
    </row>
    <row r="1550" s="1" customFormat="1" ht="11.25">
      <c r="J1550" s="4"/>
    </row>
    <row r="1551" s="1" customFormat="1" ht="11.25">
      <c r="J1551" s="4"/>
    </row>
    <row r="1552" s="1" customFormat="1" ht="11.25">
      <c r="J1552" s="4"/>
    </row>
    <row r="1553" s="1" customFormat="1" ht="11.25">
      <c r="J1553" s="4"/>
    </row>
    <row r="1554" s="1" customFormat="1" ht="11.25">
      <c r="J1554" s="4"/>
    </row>
    <row r="1555" s="1" customFormat="1" ht="11.25">
      <c r="J1555" s="4"/>
    </row>
    <row r="1556" s="1" customFormat="1" ht="11.25">
      <c r="J1556" s="4"/>
    </row>
    <row r="1557" s="1" customFormat="1" ht="11.25">
      <c r="J1557" s="4"/>
    </row>
    <row r="1558" s="1" customFormat="1" ht="11.25">
      <c r="J1558" s="4"/>
    </row>
    <row r="1559" s="1" customFormat="1" ht="11.25">
      <c r="J1559" s="4"/>
    </row>
    <row r="1560" s="1" customFormat="1" ht="11.25">
      <c r="J1560" s="4"/>
    </row>
    <row r="1561" s="1" customFormat="1" ht="11.25">
      <c r="J1561" s="4"/>
    </row>
    <row r="1562" s="1" customFormat="1" ht="11.25">
      <c r="J1562" s="4"/>
    </row>
    <row r="1563" s="1" customFormat="1" ht="11.25">
      <c r="J1563" s="4"/>
    </row>
    <row r="1564" s="1" customFormat="1" ht="11.25">
      <c r="J1564" s="4"/>
    </row>
    <row r="1565" s="1" customFormat="1" ht="11.25">
      <c r="J1565" s="4"/>
    </row>
    <row r="1566" s="1" customFormat="1" ht="11.25">
      <c r="J1566" s="4"/>
    </row>
    <row r="1567" s="1" customFormat="1" ht="11.25">
      <c r="J1567" s="4"/>
    </row>
    <row r="1568" s="1" customFormat="1" ht="11.25">
      <c r="J1568" s="4"/>
    </row>
    <row r="1569" s="1" customFormat="1" ht="11.25">
      <c r="J1569" s="4"/>
    </row>
    <row r="1570" s="1" customFormat="1" ht="11.25">
      <c r="J1570" s="4"/>
    </row>
    <row r="1571" s="1" customFormat="1" ht="11.25">
      <c r="J1571" s="4"/>
    </row>
    <row r="1572" s="1" customFormat="1" ht="11.25">
      <c r="J1572" s="4"/>
    </row>
    <row r="1573" s="1" customFormat="1" ht="11.25">
      <c r="J1573" s="4"/>
    </row>
    <row r="1574" s="1" customFormat="1" ht="11.25">
      <c r="J1574" s="4"/>
    </row>
    <row r="1575" s="1" customFormat="1" ht="11.25">
      <c r="J1575" s="4"/>
    </row>
    <row r="1576" s="1" customFormat="1" ht="11.25">
      <c r="J1576" s="4"/>
    </row>
    <row r="1577" s="1" customFormat="1" ht="11.25">
      <c r="J1577" s="4"/>
    </row>
    <row r="1578" s="1" customFormat="1" ht="11.25">
      <c r="J1578" s="4"/>
    </row>
    <row r="1579" s="1" customFormat="1" ht="11.25">
      <c r="J1579" s="4"/>
    </row>
    <row r="1580" s="1" customFormat="1" ht="11.25">
      <c r="J1580" s="4"/>
    </row>
    <row r="1581" s="1" customFormat="1" ht="11.25">
      <c r="J1581" s="4"/>
    </row>
    <row r="1582" s="1" customFormat="1" ht="11.25">
      <c r="J1582" s="4"/>
    </row>
    <row r="1583" s="1" customFormat="1" ht="11.25">
      <c r="J1583" s="4"/>
    </row>
    <row r="1584" s="1" customFormat="1" ht="11.25">
      <c r="J1584" s="4"/>
    </row>
    <row r="1585" s="1" customFormat="1" ht="11.25">
      <c r="J1585" s="4"/>
    </row>
    <row r="1586" s="1" customFormat="1" ht="11.25">
      <c r="J1586" s="4"/>
    </row>
    <row r="1587" s="1" customFormat="1" ht="11.25">
      <c r="J1587" s="4"/>
    </row>
    <row r="1588" s="1" customFormat="1" ht="11.25">
      <c r="J1588" s="4"/>
    </row>
    <row r="1589" s="1" customFormat="1" ht="11.25">
      <c r="J1589" s="4"/>
    </row>
    <row r="1590" s="1" customFormat="1" ht="11.25">
      <c r="J1590" s="4"/>
    </row>
    <row r="1591" s="1" customFormat="1" ht="11.25">
      <c r="J1591" s="4"/>
    </row>
    <row r="1592" s="1" customFormat="1" ht="11.25">
      <c r="J1592" s="4"/>
    </row>
    <row r="1593" s="1" customFormat="1" ht="11.25">
      <c r="J1593" s="4"/>
    </row>
    <row r="1594" s="1" customFormat="1" ht="11.25">
      <c r="J1594" s="4"/>
    </row>
    <row r="1595" s="1" customFormat="1" ht="11.25">
      <c r="J1595" s="4"/>
    </row>
    <row r="1596" s="1" customFormat="1" ht="11.25">
      <c r="J1596" s="4"/>
    </row>
    <row r="1597" s="1" customFormat="1" ht="11.25">
      <c r="J1597" s="4"/>
    </row>
    <row r="1598" s="1" customFormat="1" ht="11.25">
      <c r="J1598" s="4"/>
    </row>
    <row r="1599" s="1" customFormat="1" ht="11.25">
      <c r="J1599" s="4"/>
    </row>
    <row r="1600" s="1" customFormat="1" ht="11.25">
      <c r="J1600" s="4"/>
    </row>
    <row r="1601" s="1" customFormat="1" ht="11.25">
      <c r="J1601" s="4"/>
    </row>
    <row r="1602" s="1" customFormat="1" ht="11.25">
      <c r="J1602" s="4"/>
    </row>
    <row r="1603" s="1" customFormat="1" ht="11.25">
      <c r="J1603" s="4"/>
    </row>
    <row r="1604" s="1" customFormat="1" ht="11.25">
      <c r="J1604" s="4"/>
    </row>
    <row r="1605" s="1" customFormat="1" ht="11.25">
      <c r="J1605" s="4"/>
    </row>
    <row r="1606" s="1" customFormat="1" ht="11.25">
      <c r="J1606" s="4"/>
    </row>
    <row r="1607" s="1" customFormat="1" ht="11.25">
      <c r="J1607" s="4"/>
    </row>
    <row r="1608" s="1" customFormat="1" ht="11.25">
      <c r="J1608" s="4"/>
    </row>
    <row r="1609" s="1" customFormat="1" ht="11.25">
      <c r="J1609" s="4"/>
    </row>
    <row r="1610" s="1" customFormat="1" ht="11.25">
      <c r="J1610" s="4"/>
    </row>
    <row r="1611" s="1" customFormat="1" ht="11.25">
      <c r="J1611" s="4"/>
    </row>
    <row r="1612" s="1" customFormat="1" ht="11.25">
      <c r="J1612" s="4"/>
    </row>
    <row r="1613" s="1" customFormat="1" ht="11.25">
      <c r="J1613" s="4"/>
    </row>
    <row r="1614" s="1" customFormat="1" ht="11.25">
      <c r="J1614" s="4"/>
    </row>
    <row r="1615" s="1" customFormat="1" ht="11.25">
      <c r="J1615" s="4"/>
    </row>
    <row r="1616" s="1" customFormat="1" ht="11.25">
      <c r="J1616" s="4"/>
    </row>
    <row r="1617" s="1" customFormat="1" ht="11.25">
      <c r="J1617" s="4"/>
    </row>
    <row r="1618" s="1" customFormat="1" ht="11.25">
      <c r="J1618" s="4"/>
    </row>
    <row r="1619" s="1" customFormat="1" ht="11.25">
      <c r="J1619" s="4"/>
    </row>
    <row r="1620" s="1" customFormat="1" ht="11.25">
      <c r="J1620" s="4"/>
    </row>
    <row r="1621" s="1" customFormat="1" ht="11.25">
      <c r="J1621" s="4"/>
    </row>
    <row r="1622" s="1" customFormat="1" ht="11.25">
      <c r="J1622" s="4"/>
    </row>
    <row r="1623" s="1" customFormat="1" ht="11.25">
      <c r="J1623" s="4"/>
    </row>
    <row r="1624" s="1" customFormat="1" ht="11.25">
      <c r="J1624" s="4"/>
    </row>
    <row r="1625" s="1" customFormat="1" ht="11.25">
      <c r="J1625" s="4"/>
    </row>
    <row r="1626" s="1" customFormat="1" ht="11.25">
      <c r="J1626" s="4"/>
    </row>
    <row r="1627" s="1" customFormat="1" ht="11.25">
      <c r="J1627" s="4"/>
    </row>
    <row r="1628" s="1" customFormat="1" ht="11.25">
      <c r="J1628" s="4"/>
    </row>
    <row r="1629" s="1" customFormat="1" ht="11.25">
      <c r="J1629" s="4"/>
    </row>
    <row r="1630" s="1" customFormat="1" ht="11.25">
      <c r="J1630" s="4"/>
    </row>
    <row r="1631" s="1" customFormat="1" ht="11.25">
      <c r="J1631" s="4"/>
    </row>
    <row r="1632" s="1" customFormat="1" ht="11.25">
      <c r="J1632" s="4"/>
    </row>
    <row r="1633" s="1" customFormat="1" ht="11.25">
      <c r="J1633" s="4"/>
    </row>
    <row r="1634" s="1" customFormat="1" ht="11.25">
      <c r="J1634" s="4"/>
    </row>
    <row r="1635" s="1" customFormat="1" ht="11.25">
      <c r="J1635" s="4"/>
    </row>
    <row r="1636" s="1" customFormat="1" ht="11.25">
      <c r="J1636" s="4"/>
    </row>
    <row r="1637" s="1" customFormat="1" ht="11.25">
      <c r="J1637" s="4"/>
    </row>
    <row r="1638" s="1" customFormat="1" ht="11.25">
      <c r="J1638" s="4"/>
    </row>
    <row r="1639" s="1" customFormat="1" ht="11.25">
      <c r="J1639" s="4"/>
    </row>
    <row r="1640" s="1" customFormat="1" ht="11.25">
      <c r="J1640" s="4"/>
    </row>
    <row r="1641" s="1" customFormat="1" ht="11.25">
      <c r="J1641" s="4"/>
    </row>
    <row r="1642" s="1" customFormat="1" ht="11.25">
      <c r="J1642" s="4"/>
    </row>
    <row r="1643" s="1" customFormat="1" ht="11.25">
      <c r="J1643" s="4"/>
    </row>
    <row r="1644" s="1" customFormat="1" ht="11.25">
      <c r="J1644" s="4"/>
    </row>
    <row r="1645" s="1" customFormat="1" ht="11.25">
      <c r="J1645" s="4"/>
    </row>
    <row r="1646" s="1" customFormat="1" ht="11.25">
      <c r="J1646" s="4"/>
    </row>
    <row r="1647" s="1" customFormat="1" ht="11.25">
      <c r="J1647" s="4"/>
    </row>
    <row r="1648" s="1" customFormat="1" ht="11.25">
      <c r="J1648" s="4"/>
    </row>
    <row r="1649" s="1" customFormat="1" ht="11.25">
      <c r="J1649" s="4"/>
    </row>
    <row r="1650" s="1" customFormat="1" ht="11.25">
      <c r="J1650" s="4"/>
    </row>
    <row r="1651" s="1" customFormat="1" ht="11.25">
      <c r="J1651" s="4"/>
    </row>
    <row r="1652" s="1" customFormat="1" ht="11.25">
      <c r="J1652" s="4"/>
    </row>
    <row r="1653" s="1" customFormat="1" ht="11.25">
      <c r="J1653" s="4"/>
    </row>
    <row r="1654" s="1" customFormat="1" ht="11.25">
      <c r="J1654" s="4"/>
    </row>
    <row r="1655" s="1" customFormat="1" ht="11.25">
      <c r="J1655" s="4"/>
    </row>
    <row r="1656" s="1" customFormat="1" ht="11.25">
      <c r="J1656" s="4"/>
    </row>
    <row r="1657" s="1" customFormat="1" ht="11.25">
      <c r="J1657" s="4"/>
    </row>
    <row r="1658" s="1" customFormat="1" ht="11.25">
      <c r="J1658" s="4"/>
    </row>
    <row r="1659" s="1" customFormat="1" ht="11.25">
      <c r="J1659" s="4"/>
    </row>
    <row r="1660" s="1" customFormat="1" ht="11.25">
      <c r="J1660" s="4"/>
    </row>
    <row r="1661" s="1" customFormat="1" ht="11.25">
      <c r="J1661" s="4"/>
    </row>
    <row r="1662" s="1" customFormat="1" ht="11.25">
      <c r="J1662" s="4"/>
    </row>
    <row r="1663" s="1" customFormat="1" ht="11.25">
      <c r="J1663" s="4"/>
    </row>
    <row r="1664" s="1" customFormat="1" ht="11.25">
      <c r="J1664" s="4"/>
    </row>
    <row r="1665" s="1" customFormat="1" ht="11.25">
      <c r="J1665" s="4"/>
    </row>
    <row r="1666" s="1" customFormat="1" ht="11.25">
      <c r="J1666" s="4"/>
    </row>
    <row r="1667" s="1" customFormat="1" ht="11.25">
      <c r="J1667" s="4"/>
    </row>
    <row r="1668" s="1" customFormat="1" ht="11.25">
      <c r="J1668" s="4"/>
    </row>
    <row r="1669" s="1" customFormat="1" ht="11.25">
      <c r="J1669" s="4"/>
    </row>
    <row r="1670" s="1" customFormat="1" ht="11.25">
      <c r="J1670" s="4"/>
    </row>
    <row r="1671" s="1" customFormat="1" ht="11.25">
      <c r="J1671" s="4"/>
    </row>
    <row r="1672" s="1" customFormat="1" ht="11.25">
      <c r="J1672" s="4"/>
    </row>
    <row r="1673" s="1" customFormat="1" ht="11.25">
      <c r="J1673" s="4"/>
    </row>
    <row r="1674" s="1" customFormat="1" ht="11.25">
      <c r="J1674" s="4"/>
    </row>
    <row r="1675" s="1" customFormat="1" ht="11.25">
      <c r="J1675" s="4"/>
    </row>
    <row r="1676" s="1" customFormat="1" ht="11.25">
      <c r="J1676" s="4"/>
    </row>
    <row r="1677" s="1" customFormat="1" ht="11.25">
      <c r="J1677" s="4"/>
    </row>
    <row r="1678" s="1" customFormat="1" ht="11.25">
      <c r="J1678" s="4"/>
    </row>
    <row r="1679" s="1" customFormat="1" ht="11.25">
      <c r="J1679" s="4"/>
    </row>
    <row r="1680" s="1" customFormat="1" ht="11.25">
      <c r="J1680" s="4"/>
    </row>
    <row r="1681" s="1" customFormat="1" ht="11.25">
      <c r="J1681" s="4"/>
    </row>
    <row r="1682" s="1" customFormat="1" ht="11.25">
      <c r="J1682" s="4"/>
    </row>
    <row r="1683" s="1" customFormat="1" ht="11.25">
      <c r="J1683" s="4"/>
    </row>
    <row r="1684" s="1" customFormat="1" ht="11.25">
      <c r="J1684" s="4"/>
    </row>
    <row r="1685" s="1" customFormat="1" ht="11.25">
      <c r="J1685" s="4"/>
    </row>
    <row r="1686" s="1" customFormat="1" ht="11.25">
      <c r="J1686" s="4"/>
    </row>
    <row r="1687" s="1" customFormat="1" ht="11.25">
      <c r="J1687" s="4"/>
    </row>
    <row r="1688" s="1" customFormat="1" ht="11.25">
      <c r="J1688" s="4"/>
    </row>
    <row r="1689" s="1" customFormat="1" ht="11.25">
      <c r="J1689" s="4"/>
    </row>
    <row r="1690" s="1" customFormat="1" ht="11.25">
      <c r="J1690" s="4"/>
    </row>
    <row r="1691" s="1" customFormat="1" ht="11.25">
      <c r="J1691" s="4"/>
    </row>
    <row r="1692" s="1" customFormat="1" ht="11.25">
      <c r="J1692" s="4"/>
    </row>
    <row r="1693" s="1" customFormat="1" ht="11.25">
      <c r="J1693" s="4"/>
    </row>
    <row r="1694" s="1" customFormat="1" ht="11.25">
      <c r="J1694" s="4"/>
    </row>
    <row r="1695" s="1" customFormat="1" ht="11.25">
      <c r="J1695" s="4"/>
    </row>
    <row r="1696" s="1" customFormat="1" ht="11.25">
      <c r="J1696" s="4"/>
    </row>
    <row r="1697" s="1" customFormat="1" ht="11.25">
      <c r="J1697" s="4"/>
    </row>
    <row r="1698" s="1" customFormat="1" ht="11.25">
      <c r="J1698" s="4"/>
    </row>
    <row r="1699" s="1" customFormat="1" ht="11.25">
      <c r="J1699" s="4"/>
    </row>
    <row r="1700" s="1" customFormat="1" ht="11.25">
      <c r="J1700" s="4"/>
    </row>
    <row r="1701" s="1" customFormat="1" ht="11.25">
      <c r="J1701" s="4"/>
    </row>
    <row r="1702" s="1" customFormat="1" ht="11.25">
      <c r="J1702" s="4"/>
    </row>
    <row r="1703" s="1" customFormat="1" ht="11.25">
      <c r="J1703" s="4"/>
    </row>
    <row r="1704" s="1" customFormat="1" ht="11.25">
      <c r="J1704" s="4"/>
    </row>
    <row r="1705" s="1" customFormat="1" ht="11.25">
      <c r="J1705" s="4"/>
    </row>
    <row r="1706" s="1" customFormat="1" ht="11.25">
      <c r="J1706" s="4"/>
    </row>
    <row r="1707" s="1" customFormat="1" ht="11.25">
      <c r="J1707" s="4"/>
    </row>
    <row r="1708" s="1" customFormat="1" ht="11.25">
      <c r="J1708" s="4"/>
    </row>
    <row r="1709" s="1" customFormat="1" ht="11.25">
      <c r="J1709" s="4"/>
    </row>
    <row r="1710" s="1" customFormat="1" ht="11.25">
      <c r="J1710" s="4"/>
    </row>
    <row r="1711" s="1" customFormat="1" ht="11.25">
      <c r="J1711" s="4"/>
    </row>
    <row r="1712" s="1" customFormat="1" ht="11.25">
      <c r="J1712" s="4"/>
    </row>
    <row r="1713" s="1" customFormat="1" ht="11.25">
      <c r="J1713" s="4"/>
    </row>
    <row r="1714" s="1" customFormat="1" ht="11.25">
      <c r="J1714" s="4"/>
    </row>
    <row r="1715" s="1" customFormat="1" ht="11.25">
      <c r="J1715" s="4"/>
    </row>
    <row r="1716" s="1" customFormat="1" ht="11.25">
      <c r="J1716" s="4"/>
    </row>
    <row r="1717" s="1" customFormat="1" ht="11.25">
      <c r="J1717" s="4"/>
    </row>
    <row r="1718" s="1" customFormat="1" ht="11.25">
      <c r="J1718" s="4"/>
    </row>
    <row r="1719" s="1" customFormat="1" ht="11.25">
      <c r="J1719" s="4"/>
    </row>
    <row r="1720" s="1" customFormat="1" ht="11.25">
      <c r="J1720" s="4"/>
    </row>
    <row r="1721" s="1" customFormat="1" ht="11.25">
      <c r="J1721" s="4"/>
    </row>
    <row r="1722" s="1" customFormat="1" ht="11.25">
      <c r="J1722" s="4"/>
    </row>
    <row r="1723" s="1" customFormat="1" ht="11.25">
      <c r="J1723" s="4"/>
    </row>
    <row r="1724" s="1" customFormat="1" ht="11.25">
      <c r="J1724" s="4"/>
    </row>
    <row r="1725" s="1" customFormat="1" ht="11.25">
      <c r="J1725" s="4"/>
    </row>
    <row r="1726" s="1" customFormat="1" ht="11.25">
      <c r="J1726" s="4"/>
    </row>
    <row r="1727" s="1" customFormat="1" ht="11.25">
      <c r="J1727" s="4"/>
    </row>
    <row r="1728" s="1" customFormat="1" ht="11.25">
      <c r="J1728" s="4"/>
    </row>
    <row r="1729" s="1" customFormat="1" ht="11.25">
      <c r="J1729" s="4"/>
    </row>
    <row r="1730" s="1" customFormat="1" ht="11.25">
      <c r="J1730" s="4"/>
    </row>
    <row r="1731" s="1" customFormat="1" ht="11.25">
      <c r="J1731" s="4"/>
    </row>
    <row r="1732" s="1" customFormat="1" ht="11.25">
      <c r="J1732" s="4"/>
    </row>
    <row r="1733" s="1" customFormat="1" ht="11.25">
      <c r="J1733" s="4"/>
    </row>
    <row r="1734" s="1" customFormat="1" ht="11.25">
      <c r="J1734" s="4"/>
    </row>
    <row r="1735" s="1" customFormat="1" ht="11.25">
      <c r="J1735" s="4"/>
    </row>
    <row r="1736" s="1" customFormat="1" ht="11.25">
      <c r="J1736" s="4"/>
    </row>
    <row r="1737" s="1" customFormat="1" ht="11.25">
      <c r="J1737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pane xSplit="2" ySplit="5" topLeftCell="C6" activePane="bottomRight" state="frozen"/>
      <selection pane="topLeft" activeCell="G30" sqref="G30"/>
      <selection pane="topRight" activeCell="G30" sqref="G30"/>
      <selection pane="bottomLeft" activeCell="G30" sqref="G30"/>
      <selection pane="bottomRight" activeCell="G30" sqref="G30"/>
    </sheetView>
  </sheetViews>
  <sheetFormatPr defaultColWidth="9.140625" defaultRowHeight="21.75"/>
  <cols>
    <col min="1" max="1" width="10.00390625" style="1" customWidth="1"/>
    <col min="2" max="2" width="26.57421875" style="1" customWidth="1"/>
    <col min="3" max="3" width="3.7109375" style="1" bestFit="1" customWidth="1"/>
    <col min="4" max="4" width="11.28125" style="161" customWidth="1"/>
    <col min="5" max="6" width="10.7109375" style="161" hidden="1" customWidth="1"/>
    <col min="7" max="7" width="12.8515625" style="161" hidden="1" customWidth="1"/>
    <col min="8" max="8" width="8.8515625" style="161" customWidth="1"/>
    <col min="9" max="9" width="7.57421875" style="161" customWidth="1"/>
    <col min="10" max="10" width="9.8515625" style="161" bestFit="1" customWidth="1"/>
    <col min="11" max="11" width="11.28125" style="161" bestFit="1" customWidth="1"/>
    <col min="12" max="12" width="10.7109375" style="161" bestFit="1" customWidth="1"/>
    <col min="13" max="14" width="10.7109375" style="161" hidden="1" customWidth="1"/>
    <col min="15" max="15" width="10.7109375" style="161" bestFit="1" customWidth="1"/>
    <col min="16" max="16" width="8.28125" style="161" bestFit="1" customWidth="1"/>
    <col min="17" max="17" width="6.140625" style="162" bestFit="1" customWidth="1"/>
    <col min="18" max="18" width="8.28125" style="162" bestFit="1" customWidth="1"/>
    <col min="19" max="19" width="5.8515625" style="162" bestFit="1" customWidth="1"/>
    <col min="20" max="16384" width="9.140625" style="1" customWidth="1"/>
  </cols>
  <sheetData>
    <row r="1" spans="1:3" ht="11.25">
      <c r="A1" s="8" t="s">
        <v>485</v>
      </c>
      <c r="B1" s="8"/>
      <c r="C1" s="8"/>
    </row>
    <row r="2" spans="1:19" ht="11.25">
      <c r="A2" s="56"/>
      <c r="B2" s="163"/>
      <c r="C2" s="56"/>
      <c r="D2" s="1096" t="str">
        <f>'3700'!D2</f>
        <v>Quarter 1'08</v>
      </c>
      <c r="E2" s="582" t="s">
        <v>956</v>
      </c>
      <c r="F2" s="164" t="s">
        <v>957</v>
      </c>
      <c r="G2" s="164" t="s">
        <v>954</v>
      </c>
      <c r="H2" s="1686" t="s">
        <v>486</v>
      </c>
      <c r="I2" s="1699"/>
      <c r="J2" s="1700"/>
      <c r="K2" s="1055" t="str">
        <f>'3700'!H2</f>
        <v>Quarter 1'08</v>
      </c>
      <c r="L2" s="66" t="s">
        <v>818</v>
      </c>
      <c r="M2" s="66" t="s">
        <v>250</v>
      </c>
      <c r="N2" s="66" t="s">
        <v>251</v>
      </c>
      <c r="O2" s="66" t="s">
        <v>954</v>
      </c>
      <c r="P2" s="1686" t="s">
        <v>487</v>
      </c>
      <c r="Q2" s="1687"/>
      <c r="R2" s="1686" t="s">
        <v>487</v>
      </c>
      <c r="S2" s="1687"/>
    </row>
    <row r="3" spans="1:19" ht="11.25">
      <c r="A3" s="57" t="s">
        <v>488</v>
      </c>
      <c r="B3" s="165"/>
      <c r="C3" s="57"/>
      <c r="D3" s="1056">
        <f>'3700'!D3</f>
        <v>39538</v>
      </c>
      <c r="E3" s="688">
        <v>38898</v>
      </c>
      <c r="F3" s="415">
        <v>38990</v>
      </c>
      <c r="G3" s="415">
        <v>39082</v>
      </c>
      <c r="H3" s="1688" t="s">
        <v>489</v>
      </c>
      <c r="I3" s="1701"/>
      <c r="J3" s="1702"/>
      <c r="K3" s="1056">
        <f>'3700'!H3</f>
        <v>39538</v>
      </c>
      <c r="L3" s="166">
        <v>39172</v>
      </c>
      <c r="M3" s="166">
        <v>38533</v>
      </c>
      <c r="N3" s="166">
        <v>38625</v>
      </c>
      <c r="O3" s="166">
        <f>'Control BS'!J3</f>
        <v>39447</v>
      </c>
      <c r="P3" s="1707" t="s">
        <v>490</v>
      </c>
      <c r="Q3" s="1708"/>
      <c r="R3" s="1707" t="s">
        <v>490</v>
      </c>
      <c r="S3" s="1708"/>
    </row>
    <row r="4" spans="1:19" ht="11.25">
      <c r="A4" s="58" t="s">
        <v>491</v>
      </c>
      <c r="B4" s="167" t="s">
        <v>492</v>
      </c>
      <c r="C4" s="58" t="s">
        <v>493</v>
      </c>
      <c r="D4" s="900" t="s">
        <v>869</v>
      </c>
      <c r="E4" s="58" t="s">
        <v>932</v>
      </c>
      <c r="F4" s="73" t="s">
        <v>933</v>
      </c>
      <c r="G4" s="73" t="s">
        <v>885</v>
      </c>
      <c r="H4" s="168" t="s">
        <v>494</v>
      </c>
      <c r="I4" s="169" t="s">
        <v>495</v>
      </c>
      <c r="J4" s="170" t="s">
        <v>496</v>
      </c>
      <c r="K4" s="900" t="s">
        <v>869</v>
      </c>
      <c r="L4" s="354" t="s">
        <v>869</v>
      </c>
      <c r="M4" s="354" t="s">
        <v>932</v>
      </c>
      <c r="N4" s="354" t="s">
        <v>933</v>
      </c>
      <c r="O4" s="354" t="s">
        <v>885</v>
      </c>
      <c r="P4" s="1688" t="e">
        <f>'3700'!K4:L4</f>
        <v>#VALUE!</v>
      </c>
      <c r="Q4" s="1689"/>
      <c r="R4" s="1688" t="e">
        <f>'3700'!M4:N4</f>
        <v>#VALUE!</v>
      </c>
      <c r="S4" s="1689"/>
    </row>
    <row r="5" spans="1:19" ht="11.25">
      <c r="A5" s="171"/>
      <c r="B5" s="135"/>
      <c r="C5" s="135"/>
      <c r="D5" s="897" t="s">
        <v>497</v>
      </c>
      <c r="E5" s="169" t="s">
        <v>497</v>
      </c>
      <c r="F5" s="76" t="s">
        <v>497</v>
      </c>
      <c r="G5" s="76" t="s">
        <v>497</v>
      </c>
      <c r="H5" s="172" t="s">
        <v>498</v>
      </c>
      <c r="I5" s="170" t="s">
        <v>497</v>
      </c>
      <c r="J5" s="170" t="s">
        <v>497</v>
      </c>
      <c r="K5" s="897" t="s">
        <v>497</v>
      </c>
      <c r="L5" s="85" t="s">
        <v>497</v>
      </c>
      <c r="M5" s="85" t="s">
        <v>497</v>
      </c>
      <c r="N5" s="85" t="s">
        <v>497</v>
      </c>
      <c r="O5" s="85" t="s">
        <v>497</v>
      </c>
      <c r="P5" s="76" t="s">
        <v>499</v>
      </c>
      <c r="Q5" s="353" t="s">
        <v>500</v>
      </c>
      <c r="R5" s="77" t="s">
        <v>499</v>
      </c>
      <c r="S5" s="353" t="s">
        <v>500</v>
      </c>
    </row>
    <row r="6" spans="1:19" ht="11.25">
      <c r="A6" s="11"/>
      <c r="B6" s="96"/>
      <c r="C6" s="97"/>
      <c r="D6" s="175"/>
      <c r="E6" s="175"/>
      <c r="F6" s="175"/>
      <c r="G6" s="175"/>
      <c r="H6" s="176"/>
      <c r="I6" s="175"/>
      <c r="J6" s="175"/>
      <c r="K6" s="1063"/>
      <c r="L6" s="180"/>
      <c r="M6" s="180"/>
      <c r="N6" s="180"/>
      <c r="O6" s="180"/>
      <c r="P6" s="179"/>
      <c r="Q6" s="343"/>
      <c r="R6" s="178"/>
      <c r="S6" s="345"/>
    </row>
    <row r="7" spans="1:19" ht="11.25">
      <c r="A7" s="181"/>
      <c r="B7" s="182" t="s">
        <v>595</v>
      </c>
      <c r="C7" s="97"/>
      <c r="D7" s="175"/>
      <c r="E7" s="288"/>
      <c r="F7" s="175"/>
      <c r="G7" s="175"/>
      <c r="H7" s="176"/>
      <c r="I7" s="175"/>
      <c r="J7" s="175"/>
      <c r="K7" s="278"/>
      <c r="L7" s="128"/>
      <c r="M7" s="128"/>
      <c r="N7" s="128"/>
      <c r="O7" s="128"/>
      <c r="P7" s="183"/>
      <c r="Q7" s="678"/>
      <c r="R7" s="178"/>
      <c r="S7" s="345"/>
    </row>
    <row r="8" spans="1:19" ht="12" customHeight="1">
      <c r="A8" s="908">
        <v>230110</v>
      </c>
      <c r="B8" s="184" t="s">
        <v>596</v>
      </c>
      <c r="C8" s="97"/>
      <c r="D8" s="1074">
        <f>-VLOOKUP(A8,TB!$A:$E,5,FALSE)</f>
        <v>254467099.68</v>
      </c>
      <c r="E8" s="597"/>
      <c r="F8" s="597"/>
      <c r="G8" s="905"/>
      <c r="H8" s="935"/>
      <c r="I8" s="597"/>
      <c r="J8" s="597">
        <f>'Audit Adj'!F9</f>
        <v>20775595.91</v>
      </c>
      <c r="K8" s="597">
        <f>D8-I8+J8</f>
        <v>275242695.59000003</v>
      </c>
      <c r="L8" s="304">
        <v>179013020.56</v>
      </c>
      <c r="M8" s="304">
        <v>141819222.42000002</v>
      </c>
      <c r="N8" s="304">
        <v>154513073.89</v>
      </c>
      <c r="O8" s="304">
        <v>323607749.64</v>
      </c>
      <c r="P8" s="347">
        <f>(K8-O8)/1000</f>
        <v>-48365.054049999955</v>
      </c>
      <c r="Q8" s="786">
        <f>P8/O8*1000</f>
        <v>-0.14945579672861373</v>
      </c>
      <c r="R8" s="655">
        <f>(K8-L8)/1000</f>
        <v>96229.67503000003</v>
      </c>
      <c r="S8" s="1013">
        <f>R8/L8*1000</f>
        <v>0.5375568477028553</v>
      </c>
    </row>
    <row r="9" spans="1:19" ht="11.25">
      <c r="A9" s="908">
        <v>230111</v>
      </c>
      <c r="B9" s="184" t="s">
        <v>884</v>
      </c>
      <c r="C9" s="97"/>
      <c r="D9" s="1074">
        <f>VLOOKUP(A9,TB!$A:$E,5,FALSE)</f>
        <v>0</v>
      </c>
      <c r="E9" s="597"/>
      <c r="F9" s="597"/>
      <c r="G9" s="905"/>
      <c r="H9" s="680"/>
      <c r="I9" s="597"/>
      <c r="J9" s="597"/>
      <c r="K9" s="597">
        <f aca="true" t="shared" si="0" ref="K9:K14">D9-I9+J9</f>
        <v>0</v>
      </c>
      <c r="L9" s="304">
        <v>0</v>
      </c>
      <c r="M9" s="304">
        <v>0</v>
      </c>
      <c r="N9" s="304">
        <v>0</v>
      </c>
      <c r="O9" s="304">
        <v>0</v>
      </c>
      <c r="P9" s="347">
        <f>(K9-O9)/1000</f>
        <v>0</v>
      </c>
      <c r="Q9" s="786"/>
      <c r="R9" s="655">
        <f>(K9-L9)/1000</f>
        <v>0</v>
      </c>
      <c r="S9" s="1013"/>
    </row>
    <row r="10" spans="1:19" ht="11.25">
      <c r="A10" s="181"/>
      <c r="B10" s="184"/>
      <c r="C10" s="97"/>
      <c r="D10" s="1074"/>
      <c r="E10" s="597"/>
      <c r="F10" s="597"/>
      <c r="G10" s="905"/>
      <c r="H10" s="680"/>
      <c r="I10" s="597"/>
      <c r="J10" s="597"/>
      <c r="K10" s="597"/>
      <c r="L10" s="304"/>
      <c r="M10" s="304"/>
      <c r="N10" s="304"/>
      <c r="O10" s="304"/>
      <c r="P10" s="347"/>
      <c r="Q10" s="786"/>
      <c r="R10" s="655"/>
      <c r="S10" s="1013"/>
    </row>
    <row r="11" spans="1:19" ht="11.25">
      <c r="A11" s="181"/>
      <c r="B11" s="182" t="s">
        <v>597</v>
      </c>
      <c r="C11" s="97"/>
      <c r="D11" s="1074"/>
      <c r="E11" s="597"/>
      <c r="F11" s="597"/>
      <c r="G11" s="905"/>
      <c r="H11" s="680"/>
      <c r="I11" s="597"/>
      <c r="J11" s="597"/>
      <c r="K11" s="597"/>
      <c r="L11" s="304"/>
      <c r="M11" s="304"/>
      <c r="N11" s="304"/>
      <c r="O11" s="304"/>
      <c r="P11" s="347"/>
      <c r="Q11" s="786"/>
      <c r="R11" s="655"/>
      <c r="S11" s="1013"/>
    </row>
    <row r="12" spans="1:19" ht="11.25">
      <c r="A12" s="908">
        <v>230130</v>
      </c>
      <c r="B12" s="184" t="s">
        <v>598</v>
      </c>
      <c r="C12" s="188"/>
      <c r="D12" s="1074">
        <f>-VLOOKUP(A12,TB!$A:$E,5,FALSE)</f>
        <v>15086709.27654</v>
      </c>
      <c r="E12" s="597"/>
      <c r="F12" s="597"/>
      <c r="G12" s="905"/>
      <c r="H12" s="680"/>
      <c r="I12" s="597"/>
      <c r="J12" s="597"/>
      <c r="K12" s="597">
        <f t="shared" si="0"/>
        <v>15086709.27654</v>
      </c>
      <c r="L12" s="304">
        <v>7527648.840000001</v>
      </c>
      <c r="M12" s="304">
        <v>6636584.01</v>
      </c>
      <c r="N12" s="304">
        <v>8910700.3</v>
      </c>
      <c r="O12" s="304">
        <v>12660555.63</v>
      </c>
      <c r="P12" s="347">
        <f>(K12-O12)/1000</f>
        <v>2426.153646539999</v>
      </c>
      <c r="Q12" s="786">
        <f>P12/O12*1000</f>
        <v>0.1916308981567185</v>
      </c>
      <c r="R12" s="655">
        <f>(K12-L12)/1000</f>
        <v>7559.0604365399995</v>
      </c>
      <c r="S12" s="1013">
        <f>R12/L12*1000</f>
        <v>1.004172829685291</v>
      </c>
    </row>
    <row r="13" spans="1:19" ht="11.25">
      <c r="A13" s="908">
        <v>230133</v>
      </c>
      <c r="B13" s="184" t="s">
        <v>881</v>
      </c>
      <c r="C13" s="188"/>
      <c r="D13" s="1074">
        <f>VLOOKUP(A13,TB!$A:$E,5,FALSE)</f>
        <v>0</v>
      </c>
      <c r="E13" s="597">
        <v>0</v>
      </c>
      <c r="F13" s="597">
        <v>0</v>
      </c>
      <c r="G13" s="905" t="e">
        <f>-VLOOKUP(A13,#REF!,5,0)</f>
        <v>#REF!</v>
      </c>
      <c r="H13" s="680"/>
      <c r="I13" s="597"/>
      <c r="J13" s="597"/>
      <c r="K13" s="597">
        <f t="shared" si="0"/>
        <v>0</v>
      </c>
      <c r="L13" s="304">
        <v>0</v>
      </c>
      <c r="M13" s="304">
        <v>0</v>
      </c>
      <c r="N13" s="304">
        <v>0</v>
      </c>
      <c r="O13" s="304">
        <v>0</v>
      </c>
      <c r="P13" s="347">
        <f>(K13-O13)/1000</f>
        <v>0</v>
      </c>
      <c r="Q13" s="786"/>
      <c r="R13" s="655">
        <f>(K13-L13)/1000</f>
        <v>0</v>
      </c>
      <c r="S13" s="1013"/>
    </row>
    <row r="14" spans="1:19" ht="11.25">
      <c r="A14" s="184"/>
      <c r="B14" s="189"/>
      <c r="C14" s="188"/>
      <c r="D14" s="190"/>
      <c r="E14" s="190"/>
      <c r="F14" s="190"/>
      <c r="G14" s="190"/>
      <c r="H14" s="653"/>
      <c r="I14" s="190"/>
      <c r="J14" s="190"/>
      <c r="K14" s="597">
        <f t="shared" si="0"/>
        <v>0</v>
      </c>
      <c r="L14" s="303">
        <v>0</v>
      </c>
      <c r="M14" s="303"/>
      <c r="N14" s="303"/>
      <c r="O14" s="303">
        <v>0</v>
      </c>
      <c r="P14" s="185"/>
      <c r="Q14" s="678"/>
      <c r="R14" s="187"/>
      <c r="S14" s="347"/>
    </row>
    <row r="15" spans="1:19" ht="11.25">
      <c r="A15" s="191"/>
      <c r="B15" s="191" t="s">
        <v>599</v>
      </c>
      <c r="C15" s="192"/>
      <c r="D15" s="295">
        <f>SUM(D6:D14)</f>
        <v>269553808.95654</v>
      </c>
      <c r="E15" s="295">
        <f>SUM(E6:E14)</f>
        <v>0</v>
      </c>
      <c r="F15" s="295">
        <f>SUM(F6:F14)</f>
        <v>0</v>
      </c>
      <c r="G15" s="295" t="e">
        <f>SUM(G6:G14)</f>
        <v>#REF!</v>
      </c>
      <c r="H15" s="681"/>
      <c r="I15" s="295">
        <f>SUM(I6:I14)</f>
        <v>0</v>
      </c>
      <c r="J15" s="295">
        <f>SUM(J6:J14)</f>
        <v>20775595.91</v>
      </c>
      <c r="K15" s="295">
        <f>D15-I15+J15</f>
        <v>290329404.86654</v>
      </c>
      <c r="L15" s="334">
        <v>186540669.4</v>
      </c>
      <c r="M15" s="334">
        <f>SUM(M6:M14)</f>
        <v>148455806.43</v>
      </c>
      <c r="N15" s="334">
        <f>SUM(N6:N14)</f>
        <v>163423774.19</v>
      </c>
      <c r="O15" s="334">
        <f>SUM(O6:O14)</f>
        <v>336268305.27</v>
      </c>
      <c r="P15" s="295">
        <f>(K15-O15)/1000</f>
        <v>-45938.900403459964</v>
      </c>
      <c r="Q15" s="522">
        <f>P15/O15*1000</f>
        <v>-0.136613827956739</v>
      </c>
      <c r="R15" s="749">
        <f>(K15-L15)/1000</f>
        <v>103788.73546654</v>
      </c>
      <c r="S15" s="1024">
        <f>R15/L15*1000</f>
        <v>0.5563866356884639</v>
      </c>
    </row>
    <row r="16" spans="1:15" ht="11.25">
      <c r="A16" s="193"/>
      <c r="B16" s="193"/>
      <c r="C16" s="193"/>
      <c r="O16" s="1201" t="s">
        <v>1140</v>
      </c>
    </row>
    <row r="17" ht="11.25">
      <c r="A17" s="1" t="s">
        <v>1141</v>
      </c>
    </row>
    <row r="18" ht="11.25">
      <c r="A18" s="1" t="s">
        <v>167</v>
      </c>
    </row>
  </sheetData>
  <mergeCells count="8">
    <mergeCell ref="R2:S2"/>
    <mergeCell ref="R3:S3"/>
    <mergeCell ref="R4:S4"/>
    <mergeCell ref="P4:Q4"/>
    <mergeCell ref="H2:J2"/>
    <mergeCell ref="P2:Q2"/>
    <mergeCell ref="H3:J3"/>
    <mergeCell ref="P3: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pane xSplit="2" ySplit="5" topLeftCell="C25" activePane="bottomRight" state="frozen"/>
      <selection pane="topLeft" activeCell="G30" sqref="G30"/>
      <selection pane="topRight" activeCell="G30" sqref="G30"/>
      <selection pane="bottomLeft" activeCell="G30" sqref="G30"/>
      <selection pane="bottomRight" activeCell="G30" sqref="G30"/>
    </sheetView>
  </sheetViews>
  <sheetFormatPr defaultColWidth="9.140625" defaultRowHeight="21.75" outlineLevelCol="1"/>
  <cols>
    <col min="1" max="1" width="10.421875" style="50" customWidth="1"/>
    <col min="2" max="2" width="29.8515625" style="51" customWidth="1"/>
    <col min="3" max="3" width="6.28125" style="52" customWidth="1"/>
    <col min="4" max="4" width="12.00390625" style="54" customWidth="1" outlineLevel="1"/>
    <col min="5" max="5" width="7.140625" style="54" customWidth="1" outlineLevel="1"/>
    <col min="6" max="6" width="11.28125" style="54" customWidth="1" outlineLevel="1"/>
    <col min="7" max="7" width="12.57421875" style="54" customWidth="1" outlineLevel="1"/>
    <col min="8" max="8" width="10.421875" style="54" bestFit="1" customWidth="1"/>
    <col min="9" max="9" width="10.00390625" style="266" customWidth="1"/>
    <col min="10" max="10" width="10.00390625" style="266" bestFit="1" customWidth="1"/>
    <col min="11" max="11" width="8.7109375" style="161" customWidth="1"/>
    <col min="12" max="12" width="6.140625" style="162" bestFit="1" customWidth="1"/>
    <col min="13" max="13" width="9.7109375" style="162" customWidth="1"/>
    <col min="14" max="14" width="5.8515625" style="162" customWidth="1"/>
    <col min="15" max="15" width="12.57421875" style="51" bestFit="1" customWidth="1"/>
    <col min="16" max="16" width="11.140625" style="51" customWidth="1"/>
    <col min="17" max="16384" width="9.140625" style="51" customWidth="1"/>
  </cols>
  <sheetData>
    <row r="1" spans="1:3" ht="11.25">
      <c r="A1" s="59" t="s">
        <v>485</v>
      </c>
      <c r="B1" s="60"/>
      <c r="C1" s="134"/>
    </row>
    <row r="2" spans="1:14" ht="11.25">
      <c r="A2" s="63"/>
      <c r="B2" s="64"/>
      <c r="C2" s="56"/>
      <c r="D2" s="1096" t="str">
        <f>'4000'!D2</f>
        <v>Quarter 1'08</v>
      </c>
      <c r="E2" s="1686" t="s">
        <v>486</v>
      </c>
      <c r="F2" s="1699"/>
      <c r="G2" s="1700"/>
      <c r="H2" s="1055" t="str">
        <f>'4000'!K2</f>
        <v>Quarter 1'08</v>
      </c>
      <c r="I2" s="368" t="s">
        <v>818</v>
      </c>
      <c r="J2" s="368" t="s">
        <v>954</v>
      </c>
      <c r="K2" s="1686" t="s">
        <v>487</v>
      </c>
      <c r="L2" s="1687"/>
      <c r="M2" s="1686" t="s">
        <v>487</v>
      </c>
      <c r="N2" s="1687"/>
    </row>
    <row r="3" spans="1:14" ht="11.25">
      <c r="A3" s="67" t="s">
        <v>488</v>
      </c>
      <c r="B3" s="68"/>
      <c r="C3" s="57"/>
      <c r="D3" s="1056">
        <f>'4000'!D3</f>
        <v>39538</v>
      </c>
      <c r="E3" s="1688" t="s">
        <v>489</v>
      </c>
      <c r="F3" s="1701"/>
      <c r="G3" s="1702"/>
      <c r="H3" s="1056">
        <f>'4000'!K3</f>
        <v>39538</v>
      </c>
      <c r="I3" s="369">
        <v>39172</v>
      </c>
      <c r="J3" s="369">
        <f>'4000'!O3</f>
        <v>39447</v>
      </c>
      <c r="K3" s="1707" t="s">
        <v>490</v>
      </c>
      <c r="L3" s="1708"/>
      <c r="M3" s="1707" t="s">
        <v>490</v>
      </c>
      <c r="N3" s="1708"/>
    </row>
    <row r="4" spans="1:14" ht="11.25">
      <c r="A4" s="73" t="s">
        <v>491</v>
      </c>
      <c r="B4" s="74" t="s">
        <v>492</v>
      </c>
      <c r="C4" s="58" t="s">
        <v>493</v>
      </c>
      <c r="D4" s="1064" t="s">
        <v>869</v>
      </c>
      <c r="E4" s="75" t="s">
        <v>494</v>
      </c>
      <c r="F4" s="76" t="s">
        <v>495</v>
      </c>
      <c r="G4" s="77" t="s">
        <v>496</v>
      </c>
      <c r="H4" s="1064" t="s">
        <v>869</v>
      </c>
      <c r="I4" s="358" t="s">
        <v>869</v>
      </c>
      <c r="J4" s="358" t="s">
        <v>885</v>
      </c>
      <c r="K4" s="1688" t="str">
        <f>'Control BS'!K4:L4</f>
        <v>compare to YE'07</v>
      </c>
      <c r="L4" s="1689">
        <f>'4000'!Q4</f>
        <v>0</v>
      </c>
      <c r="M4" s="1688" t="str">
        <f>'Control BS'!M4:N4</f>
        <v>From Q1'07</v>
      </c>
      <c r="N4" s="1689">
        <f>'4000'!S4</f>
        <v>0</v>
      </c>
    </row>
    <row r="5" spans="1:16" ht="11.25">
      <c r="A5" s="81"/>
      <c r="B5" s="82"/>
      <c r="C5" s="135"/>
      <c r="D5" s="1065" t="s">
        <v>497</v>
      </c>
      <c r="E5" s="83" t="s">
        <v>498</v>
      </c>
      <c r="F5" s="77" t="s">
        <v>497</v>
      </c>
      <c r="G5" s="77" t="s">
        <v>497</v>
      </c>
      <c r="H5" s="1065" t="s">
        <v>497</v>
      </c>
      <c r="I5" s="85" t="s">
        <v>497</v>
      </c>
      <c r="J5" s="85" t="s">
        <v>497</v>
      </c>
      <c r="K5" s="348" t="s">
        <v>499</v>
      </c>
      <c r="L5" s="352" t="s">
        <v>500</v>
      </c>
      <c r="M5" s="348" t="s">
        <v>499</v>
      </c>
      <c r="N5" s="352" t="s">
        <v>500</v>
      </c>
      <c r="O5" s="1683"/>
      <c r="P5" s="1684"/>
    </row>
    <row r="6" spans="1:14" ht="11.25" hidden="1">
      <c r="A6" s="9"/>
      <c r="B6" s="20"/>
      <c r="C6" s="11"/>
      <c r="D6" s="89"/>
      <c r="E6" s="88"/>
      <c r="F6" s="89"/>
      <c r="G6" s="89"/>
      <c r="H6" s="14"/>
      <c r="I6" s="370"/>
      <c r="J6" s="370"/>
      <c r="K6" s="674"/>
      <c r="L6" s="343"/>
      <c r="M6" s="178"/>
      <c r="N6" s="344"/>
    </row>
    <row r="7" spans="1:14" ht="11.25" hidden="1">
      <c r="A7" s="107"/>
      <c r="B7" s="20"/>
      <c r="C7" s="11"/>
      <c r="D7" s="89"/>
      <c r="E7" s="88"/>
      <c r="F7" s="89"/>
      <c r="G7" s="89"/>
      <c r="H7" s="14"/>
      <c r="I7" s="370"/>
      <c r="J7" s="370"/>
      <c r="K7" s="675"/>
      <c r="L7" s="343"/>
      <c r="M7" s="178"/>
      <c r="N7" s="345"/>
    </row>
    <row r="8" spans="1:14" ht="11.25">
      <c r="A8" s="107"/>
      <c r="B8" s="10" t="s">
        <v>903</v>
      </c>
      <c r="C8" s="11"/>
      <c r="D8" s="89"/>
      <c r="E8" s="88"/>
      <c r="F8" s="43"/>
      <c r="G8" s="89"/>
      <c r="H8" s="220"/>
      <c r="I8" s="370"/>
      <c r="J8" s="370"/>
      <c r="K8" s="676"/>
      <c r="L8" s="343"/>
      <c r="M8" s="344"/>
      <c r="N8" s="344"/>
    </row>
    <row r="9" spans="1:14" ht="11.25">
      <c r="A9" s="107"/>
      <c r="B9" s="10"/>
      <c r="C9" s="11"/>
      <c r="D9" s="89"/>
      <c r="E9" s="88"/>
      <c r="F9" s="1028"/>
      <c r="G9" s="89"/>
      <c r="H9" s="220"/>
      <c r="I9" s="370"/>
      <c r="J9" s="370"/>
      <c r="K9" s="346"/>
      <c r="L9" s="678"/>
      <c r="M9" s="346"/>
      <c r="N9" s="346"/>
    </row>
    <row r="10" spans="1:14" ht="12" thickBot="1">
      <c r="A10" s="902">
        <v>242202</v>
      </c>
      <c r="B10" s="18" t="s">
        <v>613</v>
      </c>
      <c r="C10" s="49"/>
      <c r="D10" s="1199">
        <f>-VLOOKUP(A10,TB!$A:$E,5,FALSE)</f>
        <v>15019098.576227197</v>
      </c>
      <c r="E10" s="1092"/>
      <c r="F10" s="1073"/>
      <c r="G10" s="391"/>
      <c r="H10" s="391">
        <f>D10-F10+G10</f>
        <v>15019098.576227197</v>
      </c>
      <c r="I10" s="371">
        <v>13638119.14</v>
      </c>
      <c r="J10" s="371">
        <v>9374097.093021786</v>
      </c>
      <c r="K10" s="750">
        <f>(H10-J10)/1000</f>
        <v>5645.001483205411</v>
      </c>
      <c r="L10" s="1022">
        <f>K10/J10*1000</f>
        <v>0.6021914886509584</v>
      </c>
      <c r="M10" s="1008">
        <f>(H10-I10)/1000</f>
        <v>1380.9794362271969</v>
      </c>
      <c r="N10" s="1023">
        <f>M10/I10*1000</f>
        <v>0.10125878957728454</v>
      </c>
    </row>
    <row r="11" spans="1:14" ht="12" thickTop="1">
      <c r="A11" s="31"/>
      <c r="B11" s="29" t="s">
        <v>601</v>
      </c>
      <c r="C11" s="35"/>
      <c r="D11" s="151"/>
      <c r="E11" s="392"/>
      <c r="F11" s="154"/>
      <c r="G11" s="153"/>
      <c r="H11" s="151"/>
      <c r="I11" s="340"/>
      <c r="J11" s="1465" t="s">
        <v>1140</v>
      </c>
      <c r="K11" s="346"/>
      <c r="L11" s="678"/>
      <c r="M11" s="186"/>
      <c r="N11" s="346"/>
    </row>
    <row r="12" spans="1:14" ht="11.25">
      <c r="A12" s="31"/>
      <c r="B12" s="29"/>
      <c r="C12" s="35"/>
      <c r="D12" s="151"/>
      <c r="E12" s="392"/>
      <c r="F12" s="154"/>
      <c r="G12" s="153"/>
      <c r="H12" s="151"/>
      <c r="I12" s="340"/>
      <c r="J12" s="340"/>
      <c r="K12" s="677"/>
      <c r="L12" s="678"/>
      <c r="M12" s="186"/>
      <c r="N12" s="346"/>
    </row>
    <row r="13" spans="1:14" ht="11.25">
      <c r="A13" s="903">
        <v>242110</v>
      </c>
      <c r="B13" s="33" t="s">
        <v>602</v>
      </c>
      <c r="C13" s="35"/>
      <c r="D13" s="537">
        <f>-VLOOKUP(A13,TB!$A:$E,5,FALSE)</f>
        <v>372137.23</v>
      </c>
      <c r="E13" s="1099"/>
      <c r="F13" s="154"/>
      <c r="G13" s="153"/>
      <c r="H13" s="151">
        <f>D13-F13+G13-F14</f>
        <v>372137.23</v>
      </c>
      <c r="I13" s="340">
        <v>611742.94</v>
      </c>
      <c r="J13" s="340">
        <v>764914.36</v>
      </c>
      <c r="K13" s="345">
        <f>(H13-J13)/1000</f>
        <v>-392.77713</v>
      </c>
      <c r="L13" s="786">
        <f>K13/J13*1000</f>
        <v>-0.5134916410773096</v>
      </c>
      <c r="M13" s="347">
        <f>(H13-I13)/1000</f>
        <v>-239.60570999999996</v>
      </c>
      <c r="N13" s="1013">
        <f>M13/I13*1000</f>
        <v>-0.3916771152275169</v>
      </c>
    </row>
    <row r="14" spans="1:14" ht="11.25">
      <c r="A14" s="903"/>
      <c r="B14" s="33"/>
      <c r="C14" s="35"/>
      <c r="D14" s="450"/>
      <c r="E14" s="1099"/>
      <c r="F14" s="154"/>
      <c r="G14" s="153"/>
      <c r="H14" s="151"/>
      <c r="I14" s="340"/>
      <c r="J14" s="340"/>
      <c r="K14" s="345"/>
      <c r="L14" s="786"/>
      <c r="M14" s="347"/>
      <c r="N14" s="1013"/>
    </row>
    <row r="15" spans="1:14" ht="11.25">
      <c r="A15" s="903">
        <v>242111</v>
      </c>
      <c r="B15" s="33" t="s">
        <v>922</v>
      </c>
      <c r="C15" s="35"/>
      <c r="D15" s="450">
        <f>VLOOKUP(A15,TB!$A:$E,5,FALSE)</f>
        <v>0</v>
      </c>
      <c r="E15" s="392"/>
      <c r="F15" s="154"/>
      <c r="G15" s="153"/>
      <c r="H15" s="151">
        <f aca="true" t="shared" si="0" ref="H15:H38">D15-F15+G15</f>
        <v>0</v>
      </c>
      <c r="I15" s="340">
        <v>0</v>
      </c>
      <c r="J15" s="340">
        <v>2136.46</v>
      </c>
      <c r="K15" s="345">
        <f aca="true" t="shared" si="1" ref="K15:K38">(H15-J15)/1000</f>
        <v>-2.13646</v>
      </c>
      <c r="L15" s="786"/>
      <c r="M15" s="347">
        <f aca="true" t="shared" si="2" ref="M15:M37">(H15-I15)/1000</f>
        <v>0</v>
      </c>
      <c r="N15" s="1013"/>
    </row>
    <row r="16" spans="1:14" ht="22.5">
      <c r="A16" s="31">
        <v>242112</v>
      </c>
      <c r="B16" s="33" t="s">
        <v>995</v>
      </c>
      <c r="C16" s="35"/>
      <c r="D16" s="450">
        <f>-VLOOKUP(A16,TB!$A:$E,5,FALSE)</f>
        <v>2231.88</v>
      </c>
      <c r="E16" s="392"/>
      <c r="F16" s="151"/>
      <c r="G16" s="153"/>
      <c r="H16" s="151">
        <f t="shared" si="0"/>
        <v>2231.88</v>
      </c>
      <c r="I16" s="340">
        <v>929.68</v>
      </c>
      <c r="J16" s="340">
        <v>0</v>
      </c>
      <c r="K16" s="345">
        <f t="shared" si="1"/>
        <v>2.2318800000000003</v>
      </c>
      <c r="L16" s="786" t="e">
        <f aca="true" t="shared" si="3" ref="L16:L37">K16/J16*1000</f>
        <v>#DIV/0!</v>
      </c>
      <c r="M16" s="347">
        <f t="shared" si="2"/>
        <v>1.3022000000000002</v>
      </c>
      <c r="N16" s="1013">
        <f aca="true" t="shared" si="4" ref="N16:N21">M16/I16*1000</f>
        <v>1.400697014026332</v>
      </c>
    </row>
    <row r="17" spans="1:14" ht="11.25">
      <c r="A17" s="903">
        <v>242113</v>
      </c>
      <c r="B17" s="33" t="s">
        <v>1109</v>
      </c>
      <c r="C17" s="35"/>
      <c r="D17" s="450">
        <f>-VLOOKUP(A17,TB!$A:$E,5,FALSE)</f>
        <v>926.1</v>
      </c>
      <c r="E17" s="392"/>
      <c r="F17" s="151"/>
      <c r="G17" s="153"/>
      <c r="H17" s="151">
        <f t="shared" si="0"/>
        <v>926.1</v>
      </c>
      <c r="I17" s="340">
        <v>1479.2</v>
      </c>
      <c r="J17" s="340">
        <v>0</v>
      </c>
      <c r="K17" s="345">
        <f t="shared" si="1"/>
        <v>0.9261</v>
      </c>
      <c r="L17" s="786" t="e">
        <f t="shared" si="3"/>
        <v>#DIV/0!</v>
      </c>
      <c r="M17" s="347">
        <f t="shared" si="2"/>
        <v>-0.5531</v>
      </c>
      <c r="N17" s="1013">
        <f t="shared" si="4"/>
        <v>-0.3739183342347215</v>
      </c>
    </row>
    <row r="18" spans="1:14" ht="11.25">
      <c r="A18" s="903">
        <v>242120</v>
      </c>
      <c r="B18" s="33" t="s">
        <v>603</v>
      </c>
      <c r="C18" s="35"/>
      <c r="D18" s="450">
        <f>-VLOOKUP(A18,TB!$A:$E,5,FALSE)</f>
        <v>1425524.89</v>
      </c>
      <c r="E18" s="392"/>
      <c r="F18" s="151"/>
      <c r="G18" s="153"/>
      <c r="H18" s="151">
        <f t="shared" si="0"/>
        <v>1425524.89</v>
      </c>
      <c r="I18" s="340">
        <v>0</v>
      </c>
      <c r="J18" s="340">
        <v>1927300.69</v>
      </c>
      <c r="K18" s="345">
        <f t="shared" si="1"/>
        <v>-501.77580000000006</v>
      </c>
      <c r="L18" s="786">
        <f t="shared" si="3"/>
        <v>-0.2603515904931265</v>
      </c>
      <c r="M18" s="347">
        <f t="shared" si="2"/>
        <v>1425.52489</v>
      </c>
      <c r="N18" s="1013" t="e">
        <f t="shared" si="4"/>
        <v>#DIV/0!</v>
      </c>
    </row>
    <row r="19" spans="1:14" ht="11.25">
      <c r="A19" s="903">
        <v>242130</v>
      </c>
      <c r="B19" s="33" t="s">
        <v>604</v>
      </c>
      <c r="C19" s="35"/>
      <c r="D19" s="450">
        <f>-VLOOKUP(A19,TB!$A:$E,5,FALSE)</f>
        <v>1895238.7400000002</v>
      </c>
      <c r="E19" s="392"/>
      <c r="F19" s="151"/>
      <c r="G19" s="153"/>
      <c r="H19" s="151">
        <f t="shared" si="0"/>
        <v>1895238.7400000002</v>
      </c>
      <c r="I19" s="340">
        <v>1968635.66</v>
      </c>
      <c r="J19" s="340">
        <v>877385</v>
      </c>
      <c r="K19" s="345">
        <f t="shared" si="1"/>
        <v>1017.8537400000002</v>
      </c>
      <c r="L19" s="786">
        <v>1</v>
      </c>
      <c r="M19" s="347">
        <f t="shared" si="2"/>
        <v>-73.3969199999997</v>
      </c>
      <c r="N19" s="1013">
        <f t="shared" si="4"/>
        <v>-0.03728314054821079</v>
      </c>
    </row>
    <row r="20" spans="1:14" ht="11.25">
      <c r="A20" s="903">
        <v>242140</v>
      </c>
      <c r="B20" s="33" t="s">
        <v>605</v>
      </c>
      <c r="C20" s="35"/>
      <c r="D20" s="450">
        <f>-VLOOKUP(A20,TB!$A:$E,5,FALSE)</f>
        <v>3245531.56</v>
      </c>
      <c r="E20" s="392"/>
      <c r="F20" s="151"/>
      <c r="G20" s="153"/>
      <c r="H20" s="151">
        <f t="shared" si="0"/>
        <v>3245531.56</v>
      </c>
      <c r="I20" s="340">
        <v>2829634.91</v>
      </c>
      <c r="J20" s="340">
        <v>2585065.43</v>
      </c>
      <c r="K20" s="345">
        <f t="shared" si="1"/>
        <v>660.4661299999999</v>
      </c>
      <c r="L20" s="786">
        <f t="shared" si="3"/>
        <v>0.2554930031306789</v>
      </c>
      <c r="M20" s="347">
        <f t="shared" si="2"/>
        <v>415.8966499999999</v>
      </c>
      <c r="N20" s="1013">
        <f t="shared" si="4"/>
        <v>0.14697890831435914</v>
      </c>
    </row>
    <row r="21" spans="1:14" ht="11.25">
      <c r="A21" s="903">
        <v>242150</v>
      </c>
      <c r="B21" s="33" t="s">
        <v>606</v>
      </c>
      <c r="C21" s="35"/>
      <c r="D21" s="450">
        <f>-VLOOKUP(A21,TB!$A:$E,5,FALSE)</f>
        <v>6867.04</v>
      </c>
      <c r="E21" s="392"/>
      <c r="F21" s="151"/>
      <c r="G21" s="153"/>
      <c r="H21" s="151">
        <f t="shared" si="0"/>
        <v>6867.04</v>
      </c>
      <c r="I21" s="340">
        <v>108544.12</v>
      </c>
      <c r="J21" s="340">
        <v>114736</v>
      </c>
      <c r="K21" s="345">
        <f t="shared" si="1"/>
        <v>-107.86896</v>
      </c>
      <c r="L21" s="786">
        <f t="shared" si="3"/>
        <v>-0.940149212104309</v>
      </c>
      <c r="M21" s="347">
        <f t="shared" si="2"/>
        <v>-101.67708</v>
      </c>
      <c r="N21" s="1013">
        <f t="shared" si="4"/>
        <v>-0.9367350345647466</v>
      </c>
    </row>
    <row r="22" spans="1:14" ht="11.25">
      <c r="A22" s="903">
        <v>242160</v>
      </c>
      <c r="B22" s="33" t="s">
        <v>607</v>
      </c>
      <c r="C22" s="35"/>
      <c r="D22" s="450">
        <f>-VLOOKUP(A22,TB!$A:$E,5,FALSE)</f>
        <v>0</v>
      </c>
      <c r="E22" s="392"/>
      <c r="F22" s="151"/>
      <c r="G22" s="153"/>
      <c r="H22" s="151">
        <f t="shared" si="0"/>
        <v>0</v>
      </c>
      <c r="I22" s="340">
        <v>0</v>
      </c>
      <c r="J22" s="340">
        <v>0</v>
      </c>
      <c r="K22" s="345">
        <f t="shared" si="1"/>
        <v>0</v>
      </c>
      <c r="L22" s="786"/>
      <c r="M22" s="347">
        <f t="shared" si="2"/>
        <v>0</v>
      </c>
      <c r="N22" s="1013"/>
    </row>
    <row r="23" spans="1:14" ht="11.25">
      <c r="A23" s="903">
        <v>242170</v>
      </c>
      <c r="B23" s="33" t="s">
        <v>608</v>
      </c>
      <c r="C23" s="35"/>
      <c r="D23" s="450">
        <f>-VLOOKUP(A23,TB!$A:$E,5,FALSE)</f>
        <v>332037.69999999995</v>
      </c>
      <c r="E23" s="392"/>
      <c r="F23" s="151"/>
      <c r="G23" s="153"/>
      <c r="H23" s="151">
        <f t="shared" si="0"/>
        <v>332037.69999999995</v>
      </c>
      <c r="I23" s="340">
        <v>332500</v>
      </c>
      <c r="J23" s="340">
        <v>430000</v>
      </c>
      <c r="K23" s="345">
        <f t="shared" si="1"/>
        <v>-97.96230000000004</v>
      </c>
      <c r="L23" s="786">
        <f t="shared" si="3"/>
        <v>-0.22781930232558148</v>
      </c>
      <c r="M23" s="347">
        <f t="shared" si="2"/>
        <v>-0.46230000000004656</v>
      </c>
      <c r="N23" s="1013">
        <f>M23/I23*1000</f>
        <v>-0.001390375939849764</v>
      </c>
    </row>
    <row r="24" spans="1:14" ht="11.25">
      <c r="A24" s="903">
        <v>242180</v>
      </c>
      <c r="B24" s="33" t="s">
        <v>609</v>
      </c>
      <c r="C24" s="35"/>
      <c r="D24" s="450">
        <f>-VLOOKUP(A24,TB!$A:$E,5,FALSE)</f>
        <v>324222</v>
      </c>
      <c r="E24" s="392"/>
      <c r="F24" s="151"/>
      <c r="G24" s="153"/>
      <c r="H24" s="151">
        <f t="shared" si="0"/>
        <v>324222</v>
      </c>
      <c r="I24" s="340">
        <v>324588</v>
      </c>
      <c r="J24" s="340">
        <v>324776</v>
      </c>
      <c r="K24" s="345">
        <f t="shared" si="1"/>
        <v>-0.554</v>
      </c>
      <c r="L24" s="786">
        <f t="shared" si="3"/>
        <v>-0.0017057910683055402</v>
      </c>
      <c r="M24" s="347">
        <f t="shared" si="2"/>
        <v>-0.366</v>
      </c>
      <c r="N24" s="1013">
        <f>M24/I24*1000</f>
        <v>-0.0011275832747975896</v>
      </c>
    </row>
    <row r="25" spans="1:14" ht="11.25">
      <c r="A25" s="903">
        <v>242181</v>
      </c>
      <c r="B25" s="33" t="s">
        <v>610</v>
      </c>
      <c r="C25" s="35"/>
      <c r="D25" s="450">
        <f>-VLOOKUP(A25,TB!$A:$E,5,FALSE)</f>
        <v>0</v>
      </c>
      <c r="E25" s="392"/>
      <c r="F25" s="151"/>
      <c r="G25" s="153"/>
      <c r="H25" s="151">
        <f t="shared" si="0"/>
        <v>0</v>
      </c>
      <c r="I25" s="340">
        <v>0</v>
      </c>
      <c r="J25" s="340">
        <v>0</v>
      </c>
      <c r="K25" s="345">
        <f t="shared" si="1"/>
        <v>0</v>
      </c>
      <c r="L25" s="786"/>
      <c r="M25" s="347">
        <f t="shared" si="2"/>
        <v>0</v>
      </c>
      <c r="N25" s="1013"/>
    </row>
    <row r="26" spans="1:14" ht="11.25">
      <c r="A26" s="903">
        <v>242190</v>
      </c>
      <c r="B26" s="33" t="s">
        <v>611</v>
      </c>
      <c r="C26" s="35"/>
      <c r="D26" s="450">
        <f>-VLOOKUP(A26,TB!$A:$E,5,FALSE)</f>
        <v>4201879.16</v>
      </c>
      <c r="E26" s="943"/>
      <c r="F26" s="151"/>
      <c r="G26" s="153">
        <f>'Audit Adj'!F10</f>
        <v>200000</v>
      </c>
      <c r="H26" s="151">
        <f t="shared" si="0"/>
        <v>4401879.16</v>
      </c>
      <c r="I26" s="340">
        <v>4893724.68</v>
      </c>
      <c r="J26" s="340">
        <v>4875977.83</v>
      </c>
      <c r="K26" s="345">
        <f t="shared" si="1"/>
        <v>-474.0986699999999</v>
      </c>
      <c r="L26" s="786">
        <f t="shared" si="3"/>
        <v>-0.09723150648533607</v>
      </c>
      <c r="M26" s="347">
        <f t="shared" si="2"/>
        <v>-491.84551999999957</v>
      </c>
      <c r="N26" s="1013">
        <f>M26/I26*1000</f>
        <v>-0.1005053516823508</v>
      </c>
    </row>
    <row r="27" spans="1:14" ht="11.25">
      <c r="A27" s="903">
        <v>242191</v>
      </c>
      <c r="B27" s="33" t="s">
        <v>612</v>
      </c>
      <c r="C27" s="35"/>
      <c r="D27" s="450">
        <f>-VLOOKUP(A27,TB!$A:$E,5,FALSE)</f>
        <v>0</v>
      </c>
      <c r="E27" s="392"/>
      <c r="F27" s="151"/>
      <c r="G27" s="153"/>
      <c r="H27" s="151">
        <f t="shared" si="0"/>
        <v>0</v>
      </c>
      <c r="I27" s="340">
        <v>0</v>
      </c>
      <c r="J27" s="340">
        <v>0</v>
      </c>
      <c r="K27" s="347">
        <f t="shared" si="1"/>
        <v>0</v>
      </c>
      <c r="L27" s="786"/>
      <c r="M27" s="655">
        <f t="shared" si="2"/>
        <v>0</v>
      </c>
      <c r="N27" s="1013"/>
    </row>
    <row r="28" spans="1:14" ht="11.25">
      <c r="A28" s="903">
        <v>242100</v>
      </c>
      <c r="B28" s="33" t="s">
        <v>882</v>
      </c>
      <c r="C28" s="35"/>
      <c r="D28" s="450">
        <f>-VLOOKUP(A28,TB!$A:$E,5,FALSE)</f>
        <v>0</v>
      </c>
      <c r="E28" s="392"/>
      <c r="F28" s="151"/>
      <c r="G28" s="153"/>
      <c r="H28" s="151">
        <f t="shared" si="0"/>
        <v>0</v>
      </c>
      <c r="I28" s="340">
        <v>0</v>
      </c>
      <c r="J28" s="340">
        <v>0</v>
      </c>
      <c r="K28" s="347">
        <f t="shared" si="1"/>
        <v>0</v>
      </c>
      <c r="L28" s="786"/>
      <c r="M28" s="655">
        <f t="shared" si="2"/>
        <v>0</v>
      </c>
      <c r="N28" s="1013"/>
    </row>
    <row r="29" spans="1:14" ht="11.25">
      <c r="A29" s="903">
        <v>242201</v>
      </c>
      <c r="B29" s="33" t="s">
        <v>1004</v>
      </c>
      <c r="C29" s="35"/>
      <c r="D29" s="450">
        <f>-VLOOKUP(A29,TB!$A:$E,5,FALSE)</f>
        <v>0</v>
      </c>
      <c r="E29" s="392"/>
      <c r="F29" s="151"/>
      <c r="G29" s="153"/>
      <c r="H29" s="151">
        <f t="shared" si="0"/>
        <v>0</v>
      </c>
      <c r="I29" s="340">
        <v>0</v>
      </c>
      <c r="J29" s="340">
        <v>0</v>
      </c>
      <c r="K29" s="347">
        <f t="shared" si="1"/>
        <v>0</v>
      </c>
      <c r="L29" s="786"/>
      <c r="M29" s="655">
        <f t="shared" si="2"/>
        <v>0</v>
      </c>
      <c r="N29" s="1013"/>
    </row>
    <row r="30" spans="1:14" ht="11.25">
      <c r="A30" s="903">
        <v>242203</v>
      </c>
      <c r="B30" s="33" t="s">
        <v>1016</v>
      </c>
      <c r="C30" s="35"/>
      <c r="D30" s="450">
        <f>-VLOOKUP(A30,TB!$A:$E,5,FALSE)</f>
        <v>349054.11</v>
      </c>
      <c r="E30" s="392"/>
      <c r="F30" s="151"/>
      <c r="G30" s="153"/>
      <c r="H30" s="151">
        <f t="shared" si="0"/>
        <v>349054.11</v>
      </c>
      <c r="I30" s="340">
        <v>47776.11</v>
      </c>
      <c r="J30" s="340">
        <v>280644.24</v>
      </c>
      <c r="K30" s="347">
        <f t="shared" si="1"/>
        <v>68.40987</v>
      </c>
      <c r="L30" s="786">
        <f t="shared" si="3"/>
        <v>0.24376010710214469</v>
      </c>
      <c r="M30" s="345">
        <f t="shared" si="2"/>
        <v>301.278</v>
      </c>
      <c r="N30" s="1013">
        <f>M30/I30*1000</f>
        <v>6.306038729398439</v>
      </c>
    </row>
    <row r="31" spans="1:14" ht="11.25">
      <c r="A31" s="903">
        <v>242204</v>
      </c>
      <c r="B31" s="33" t="s">
        <v>1017</v>
      </c>
      <c r="C31" s="35"/>
      <c r="D31" s="450">
        <f>-VLOOKUP(A31,TB!$A:$E,5,FALSE)</f>
        <v>3019115.56</v>
      </c>
      <c r="E31" s="392"/>
      <c r="F31" s="151"/>
      <c r="G31" s="153"/>
      <c r="H31" s="151">
        <f t="shared" si="0"/>
        <v>3019115.56</v>
      </c>
      <c r="I31" s="340">
        <v>1609927.63</v>
      </c>
      <c r="J31" s="340">
        <v>3727837.95</v>
      </c>
      <c r="K31" s="347">
        <f t="shared" si="1"/>
        <v>-708.7223900000001</v>
      </c>
      <c r="L31" s="786">
        <f t="shared" si="3"/>
        <v>-0.19011620126888834</v>
      </c>
      <c r="M31" s="345">
        <f t="shared" si="2"/>
        <v>1409.1879300000003</v>
      </c>
      <c r="N31" s="1013">
        <f>M31/I31*1000</f>
        <v>0.8753113517282763</v>
      </c>
    </row>
    <row r="32" spans="1:14" ht="11.25">
      <c r="A32" s="31" t="s">
        <v>282</v>
      </c>
      <c r="B32" s="341" t="s">
        <v>1115</v>
      </c>
      <c r="C32" s="35" t="s">
        <v>279</v>
      </c>
      <c r="D32" s="450">
        <v>0</v>
      </c>
      <c r="E32" s="392"/>
      <c r="F32" s="151">
        <f>'Client Adj'!E8</f>
        <v>484522.08</v>
      </c>
      <c r="G32" s="153"/>
      <c r="H32" s="151">
        <f t="shared" si="0"/>
        <v>-484522.08</v>
      </c>
      <c r="I32" s="340">
        <v>-366730.27</v>
      </c>
      <c r="J32" s="340"/>
      <c r="K32" s="347">
        <f t="shared" si="1"/>
        <v>-484.52208</v>
      </c>
      <c r="L32" s="786"/>
      <c r="M32" s="345">
        <f t="shared" si="2"/>
        <v>-117.79181</v>
      </c>
      <c r="N32" s="1013"/>
    </row>
    <row r="33" spans="1:14" ht="11.25">
      <c r="A33" s="31"/>
      <c r="B33" s="32" t="s">
        <v>614</v>
      </c>
      <c r="C33" s="35"/>
      <c r="D33" s="450"/>
      <c r="E33" s="392"/>
      <c r="F33" s="151"/>
      <c r="G33" s="153"/>
      <c r="H33" s="151">
        <f t="shared" si="0"/>
        <v>0</v>
      </c>
      <c r="I33" s="340">
        <v>0</v>
      </c>
      <c r="J33" s="340">
        <v>0</v>
      </c>
      <c r="K33" s="347">
        <f t="shared" si="1"/>
        <v>0</v>
      </c>
      <c r="L33" s="786"/>
      <c r="M33" s="345">
        <f t="shared" si="2"/>
        <v>0</v>
      </c>
      <c r="N33" s="1013"/>
    </row>
    <row r="34" spans="1:14" ht="11.25">
      <c r="A34" s="903">
        <v>242301</v>
      </c>
      <c r="B34" s="33" t="s">
        <v>615</v>
      </c>
      <c r="C34" s="35"/>
      <c r="D34" s="450">
        <f>-VLOOKUP(A34,TB!$A:$E,5,FALSE)</f>
        <v>317710.95</v>
      </c>
      <c r="E34" s="392"/>
      <c r="F34" s="151"/>
      <c r="G34" s="153"/>
      <c r="H34" s="151">
        <f t="shared" si="0"/>
        <v>317710.95</v>
      </c>
      <c r="I34" s="340">
        <v>182213.95</v>
      </c>
      <c r="J34" s="340">
        <v>222787.34</v>
      </c>
      <c r="K34" s="347">
        <f t="shared" si="1"/>
        <v>94.92361000000001</v>
      </c>
      <c r="L34" s="786">
        <f t="shared" si="3"/>
        <v>0.42607272926729145</v>
      </c>
      <c r="M34" s="345">
        <f t="shared" si="2"/>
        <v>135.497</v>
      </c>
      <c r="N34" s="1013">
        <f>M34/I34*1000</f>
        <v>0.7436148549548485</v>
      </c>
    </row>
    <row r="35" spans="1:14" ht="11.25">
      <c r="A35" s="903">
        <v>242302</v>
      </c>
      <c r="B35" s="33" t="s">
        <v>22</v>
      </c>
      <c r="C35" s="35"/>
      <c r="D35" s="537">
        <f>-VLOOKUP(A35,TB!$A:$E,5,FALSE)</f>
        <v>5603821.4799999995</v>
      </c>
      <c r="E35" s="1099"/>
      <c r="F35" s="151"/>
      <c r="G35" s="153"/>
      <c r="H35" s="151">
        <f t="shared" si="0"/>
        <v>5603821.4799999995</v>
      </c>
      <c r="I35" s="340">
        <v>4369161.82</v>
      </c>
      <c r="J35" s="340">
        <v>4569470.69</v>
      </c>
      <c r="K35" s="347">
        <f t="shared" si="1"/>
        <v>1034.350789999999</v>
      </c>
      <c r="L35" s="786">
        <f t="shared" si="3"/>
        <v>0.22636118276534978</v>
      </c>
      <c r="M35" s="345">
        <f t="shared" si="2"/>
        <v>1234.6596599999991</v>
      </c>
      <c r="N35" s="1013">
        <v>1</v>
      </c>
    </row>
    <row r="36" spans="1:14" ht="11.25">
      <c r="A36" s="903">
        <v>242303</v>
      </c>
      <c r="B36" s="33" t="s">
        <v>924</v>
      </c>
      <c r="C36" s="35"/>
      <c r="D36" s="450">
        <f>VLOOKUP(A36,TB!$A:$E,5,FALSE)</f>
        <v>0</v>
      </c>
      <c r="E36" s="392"/>
      <c r="F36" s="151"/>
      <c r="G36" s="153"/>
      <c r="H36" s="151">
        <f t="shared" si="0"/>
        <v>0</v>
      </c>
      <c r="I36" s="340">
        <v>0</v>
      </c>
      <c r="J36" s="340">
        <v>0</v>
      </c>
      <c r="K36" s="347">
        <f t="shared" si="1"/>
        <v>0</v>
      </c>
      <c r="L36" s="786"/>
      <c r="M36" s="345">
        <f t="shared" si="2"/>
        <v>0</v>
      </c>
      <c r="N36" s="1013"/>
    </row>
    <row r="37" spans="1:14" ht="11.25">
      <c r="A37" s="903">
        <v>242304</v>
      </c>
      <c r="B37" s="33" t="s">
        <v>617</v>
      </c>
      <c r="C37" s="35"/>
      <c r="D37" s="450">
        <f>-VLOOKUP(A37,TB!$A:$E,5,FALSE)</f>
        <v>213812.7</v>
      </c>
      <c r="E37" s="392"/>
      <c r="F37" s="151"/>
      <c r="G37" s="153"/>
      <c r="H37" s="151">
        <f t="shared" si="0"/>
        <v>213812.7</v>
      </c>
      <c r="I37" s="340">
        <v>206718.75</v>
      </c>
      <c r="J37" s="340">
        <v>826875</v>
      </c>
      <c r="K37" s="347">
        <f t="shared" si="1"/>
        <v>-613.0623</v>
      </c>
      <c r="L37" s="786">
        <f t="shared" si="3"/>
        <v>-0.7414207709750567</v>
      </c>
      <c r="M37" s="345">
        <f t="shared" si="2"/>
        <v>7.093950000000012</v>
      </c>
      <c r="N37" s="1013">
        <f>M37/I37*1000</f>
        <v>0.0343169160997733</v>
      </c>
    </row>
    <row r="38" spans="1:14" ht="12" thickBot="1">
      <c r="A38" s="45"/>
      <c r="B38" s="140" t="s">
        <v>904</v>
      </c>
      <c r="C38" s="47"/>
      <c r="D38" s="393">
        <f>SUM(D13:D37)</f>
        <v>21310111.099999998</v>
      </c>
      <c r="E38" s="394"/>
      <c r="F38" s="393">
        <f>SUM(F13:F37)</f>
        <v>484522.08</v>
      </c>
      <c r="G38" s="393">
        <f>SUM(G13:G37)</f>
        <v>200000</v>
      </c>
      <c r="H38" s="396">
        <f t="shared" si="0"/>
        <v>21025589.02</v>
      </c>
      <c r="I38" s="375">
        <v>17120847.18</v>
      </c>
      <c r="J38" s="375">
        <f>SUM(J13:J37)</f>
        <v>21529906.990000002</v>
      </c>
      <c r="K38" s="401">
        <f t="shared" si="1"/>
        <v>-504.31797000000256</v>
      </c>
      <c r="L38" s="1020">
        <f>K38/J38*1000</f>
        <v>-0.023424066357288175</v>
      </c>
      <c r="M38" s="1189">
        <f>(H38-I38)/1000</f>
        <v>3904.7418399999997</v>
      </c>
      <c r="N38" s="1021">
        <f>M38/I38*1000</f>
        <v>0.22806942898020774</v>
      </c>
    </row>
    <row r="39" spans="1:14" ht="12" thickTop="1">
      <c r="A39" s="31"/>
      <c r="B39" s="33"/>
      <c r="C39" s="35"/>
      <c r="D39" s="151"/>
      <c r="E39" s="152"/>
      <c r="F39" s="151"/>
      <c r="G39" s="153"/>
      <c r="H39" s="151"/>
      <c r="I39" s="340"/>
      <c r="J39" s="1465" t="s">
        <v>1140</v>
      </c>
      <c r="K39" s="347"/>
      <c r="L39" s="678"/>
      <c r="M39" s="279"/>
      <c r="N39" s="343"/>
    </row>
    <row r="40" spans="1:14" ht="22.5">
      <c r="A40" s="903">
        <v>242182</v>
      </c>
      <c r="B40" s="33" t="s">
        <v>505</v>
      </c>
      <c r="C40" s="35"/>
      <c r="D40" s="1075">
        <v>0</v>
      </c>
      <c r="E40" s="392"/>
      <c r="F40" s="151"/>
      <c r="G40" s="153"/>
      <c r="H40" s="151">
        <f>D40-F40+G40</f>
        <v>0</v>
      </c>
      <c r="I40" s="340">
        <v>5796000</v>
      </c>
      <c r="J40" s="340">
        <v>0</v>
      </c>
      <c r="K40" s="347">
        <f>(H40-J40)/1000</f>
        <v>0</v>
      </c>
      <c r="L40" s="786" t="e">
        <f>K40/J40*1000</f>
        <v>#DIV/0!</v>
      </c>
      <c r="M40" s="345">
        <f>(H40-I40)/1000</f>
        <v>-5796</v>
      </c>
      <c r="N40" s="1013">
        <f>M40/I40*1000</f>
        <v>-1</v>
      </c>
    </row>
    <row r="41" spans="1:14" ht="11.25">
      <c r="A41" s="903">
        <v>242182</v>
      </c>
      <c r="B41" s="33" t="s">
        <v>260</v>
      </c>
      <c r="C41" s="35"/>
      <c r="D41" s="1075">
        <f>-VLOOKUP(A41,TB!$A:$E,5,FALSE)</f>
        <v>917982.19</v>
      </c>
      <c r="E41" s="392"/>
      <c r="F41" s="151"/>
      <c r="G41" s="153"/>
      <c r="H41" s="151">
        <f>D41-F41+G41</f>
        <v>917982.19</v>
      </c>
      <c r="I41" s="340">
        <v>0</v>
      </c>
      <c r="J41" s="340">
        <v>0</v>
      </c>
      <c r="K41" s="347"/>
      <c r="L41" s="786"/>
      <c r="M41" s="1299">
        <f>(H41-I41)/1000</f>
        <v>917.98219</v>
      </c>
      <c r="N41" s="1013"/>
    </row>
    <row r="42" spans="1:14" ht="11.25">
      <c r="A42" s="31"/>
      <c r="B42" s="33"/>
      <c r="C42" s="35"/>
      <c r="D42" s="151"/>
      <c r="E42" s="152"/>
      <c r="F42" s="151"/>
      <c r="G42" s="153"/>
      <c r="H42" s="151"/>
      <c r="I42" s="340"/>
      <c r="J42" s="340"/>
      <c r="K42" s="347"/>
      <c r="L42" s="678"/>
      <c r="M42" s="279"/>
      <c r="N42" s="343"/>
    </row>
    <row r="43" spans="1:14" ht="23.25" thickBot="1">
      <c r="A43" s="31"/>
      <c r="B43" s="389" t="s">
        <v>506</v>
      </c>
      <c r="C43" s="35"/>
      <c r="D43" s="396">
        <f>SUM(D40:D42)</f>
        <v>917982.19</v>
      </c>
      <c r="E43" s="397"/>
      <c r="F43" s="393"/>
      <c r="G43" s="395"/>
      <c r="H43" s="396">
        <f>D43-F43+G43</f>
        <v>917982.19</v>
      </c>
      <c r="I43" s="375">
        <v>5796000</v>
      </c>
      <c r="J43" s="375">
        <f>SUM(J40:J42)</f>
        <v>0</v>
      </c>
      <c r="K43" s="401">
        <f>(H43-J43)/1000</f>
        <v>917.98219</v>
      </c>
      <c r="L43" s="1020" t="e">
        <f>K43/J43*1000</f>
        <v>#DIV/0!</v>
      </c>
      <c r="M43" s="1189">
        <f>(H43-I43)/1000</f>
        <v>-4878.01781</v>
      </c>
      <c r="N43" s="1021">
        <f>M43/I43*1000</f>
        <v>-0.8416179796411319</v>
      </c>
    </row>
    <row r="44" spans="1:14" ht="12" thickTop="1">
      <c r="A44" s="31"/>
      <c r="B44" s="33"/>
      <c r="C44" s="35"/>
      <c r="D44" s="151"/>
      <c r="E44" s="152"/>
      <c r="F44" s="151"/>
      <c r="G44" s="153"/>
      <c r="H44" s="151"/>
      <c r="I44" s="340"/>
      <c r="J44" s="340"/>
      <c r="K44" s="347"/>
      <c r="L44" s="678"/>
      <c r="M44" s="279"/>
      <c r="N44" s="343"/>
    </row>
    <row r="45" spans="1:14" ht="11.25">
      <c r="A45" s="31"/>
      <c r="B45" s="29" t="s">
        <v>653</v>
      </c>
      <c r="C45" s="35"/>
      <c r="D45" s="151"/>
      <c r="E45" s="152"/>
      <c r="F45" s="151"/>
      <c r="G45" s="153"/>
      <c r="H45" s="151"/>
      <c r="I45" s="340"/>
      <c r="J45" s="340"/>
      <c r="K45" s="347"/>
      <c r="L45" s="678"/>
      <c r="M45" s="279"/>
      <c r="N45" s="343"/>
    </row>
    <row r="46" spans="1:16" ht="11.25">
      <c r="A46" s="903">
        <v>241000</v>
      </c>
      <c r="B46" s="33" t="s">
        <v>600</v>
      </c>
      <c r="C46" s="35"/>
      <c r="D46" s="1075">
        <f>-VLOOKUP(A46,TB!$A:$E,5,FALSE)</f>
        <v>3831646.28</v>
      </c>
      <c r="E46" s="152"/>
      <c r="F46" s="151"/>
      <c r="G46" s="153"/>
      <c r="H46" s="151">
        <f>D46-F46+G46</f>
        <v>3831646.28</v>
      </c>
      <c r="I46" s="340">
        <v>5857510.37</v>
      </c>
      <c r="J46" s="340">
        <v>5597944.050000001</v>
      </c>
      <c r="K46" s="347">
        <f>(H46-J46)/1000</f>
        <v>-1766.297770000001</v>
      </c>
      <c r="L46" s="786">
        <f>K46/J46*1000</f>
        <v>-0.31552615642880544</v>
      </c>
      <c r="M46" s="345">
        <f>(H46-I46)/1000</f>
        <v>-2025.8640900000003</v>
      </c>
      <c r="N46" s="1013">
        <f>M46/I46*1000</f>
        <v>-0.3458575336674991</v>
      </c>
      <c r="O46" s="141"/>
      <c r="P46" s="142"/>
    </row>
    <row r="47" spans="1:14" ht="11.25">
      <c r="A47" s="903">
        <v>241001</v>
      </c>
      <c r="B47" s="33" t="s">
        <v>481</v>
      </c>
      <c r="C47" s="35"/>
      <c r="D47" s="1075">
        <f>-VLOOKUP(A47,TB!$A:$E,5,FALSE)</f>
        <v>8684.22</v>
      </c>
      <c r="E47" s="152"/>
      <c r="F47" s="151"/>
      <c r="G47" s="153"/>
      <c r="H47" s="151">
        <f>D47-F47+G47</f>
        <v>8684.22</v>
      </c>
      <c r="I47" s="340">
        <v>1707.96</v>
      </c>
      <c r="J47" s="340">
        <v>6954.07</v>
      </c>
      <c r="K47" s="347"/>
      <c r="L47" s="678"/>
      <c r="M47" s="279"/>
      <c r="N47" s="343"/>
    </row>
    <row r="48" spans="1:14" ht="12" thickBot="1">
      <c r="A48" s="31"/>
      <c r="B48" s="34" t="s">
        <v>941</v>
      </c>
      <c r="C48" s="35"/>
      <c r="D48" s="393">
        <f>SUM(D46:D47)</f>
        <v>3840330.5</v>
      </c>
      <c r="E48" s="398"/>
      <c r="F48" s="399"/>
      <c r="G48" s="400"/>
      <c r="H48" s="396">
        <f>D48-F48+G48</f>
        <v>3840330.5</v>
      </c>
      <c r="I48" s="375">
        <v>5859218.33</v>
      </c>
      <c r="J48" s="375">
        <f>SUM(J46:J47)</f>
        <v>5604898.120000001</v>
      </c>
      <c r="K48" s="401">
        <f>(H48-J48)/1000</f>
        <v>-1764.567620000001</v>
      </c>
      <c r="L48" s="1020">
        <f>K48/J48*1000</f>
        <v>-0.31482599366141567</v>
      </c>
      <c r="M48" s="1189">
        <f>(H48-I48)/1000</f>
        <v>-2018.8878300000001</v>
      </c>
      <c r="N48" s="1021">
        <f>M48/I48*1000</f>
        <v>-0.34456606944701446</v>
      </c>
    </row>
    <row r="49" spans="1:14" ht="12" thickTop="1">
      <c r="A49" s="143"/>
      <c r="B49" s="144"/>
      <c r="C49" s="145"/>
      <c r="D49" s="402"/>
      <c r="E49" s="403"/>
      <c r="F49" s="402"/>
      <c r="G49" s="404"/>
      <c r="H49" s="151"/>
      <c r="I49" s="373"/>
      <c r="J49" s="1464" t="s">
        <v>1140</v>
      </c>
      <c r="K49" s="347"/>
      <c r="L49" s="678"/>
      <c r="M49" s="1508"/>
      <c r="N49" s="21"/>
    </row>
    <row r="50" spans="1:14" ht="11.25">
      <c r="A50" s="31"/>
      <c r="B50" s="33"/>
      <c r="C50" s="35"/>
      <c r="D50" s="151"/>
      <c r="E50" s="152"/>
      <c r="F50" s="151"/>
      <c r="G50" s="153"/>
      <c r="H50" s="151"/>
      <c r="I50" s="340"/>
      <c r="J50" s="340"/>
      <c r="K50" s="347"/>
      <c r="L50" s="678"/>
      <c r="M50" s="1508"/>
      <c r="N50" s="21"/>
    </row>
    <row r="51" spans="1:14" ht="11.25">
      <c r="A51" s="903">
        <v>245000</v>
      </c>
      <c r="B51" s="33" t="s">
        <v>618</v>
      </c>
      <c r="C51" s="35"/>
      <c r="D51" s="1075">
        <f>-VLOOKUP(A51,TB!$A:$E,5,FALSE)</f>
        <v>9601340.959999999</v>
      </c>
      <c r="E51" s="152"/>
      <c r="F51" s="151"/>
      <c r="G51" s="153"/>
      <c r="H51" s="151">
        <f>D51-F51+G51</f>
        <v>9601340.959999999</v>
      </c>
      <c r="I51" s="340">
        <v>13619820.780000001</v>
      </c>
      <c r="J51" s="340">
        <v>9304527.530000001</v>
      </c>
      <c r="K51" s="347">
        <f>(H51-J51)/1000</f>
        <v>296.8134299999978</v>
      </c>
      <c r="L51" s="786">
        <f>K51/J51*1000</f>
        <v>0.0318998927181419</v>
      </c>
      <c r="M51" s="345">
        <f>(H51-I51)/1000</f>
        <v>-4018.4798200000023</v>
      </c>
      <c r="N51" s="1013">
        <f>M51/I51*1000</f>
        <v>-0.29504645361420107</v>
      </c>
    </row>
    <row r="52" spans="1:16" ht="11.25">
      <c r="A52" s="903">
        <v>245103</v>
      </c>
      <c r="B52" s="33" t="s">
        <v>565</v>
      </c>
      <c r="C52" s="35"/>
      <c r="D52" s="1075">
        <f>-VLOOKUP(A52,TB!$A:$E,5,FALSE)</f>
        <v>132978.89</v>
      </c>
      <c r="E52" s="152"/>
      <c r="F52" s="151"/>
      <c r="G52" s="153"/>
      <c r="H52" s="151">
        <f>D52-F52+G52</f>
        <v>132978.89</v>
      </c>
      <c r="I52" s="340">
        <v>205272.62</v>
      </c>
      <c r="J52" s="340">
        <v>2464583.09</v>
      </c>
      <c r="K52" s="347">
        <f>(H52-J52)/1000</f>
        <v>-2331.6041999999998</v>
      </c>
      <c r="L52" s="786">
        <f>K52/J52*1000</f>
        <v>-0.9460440629737502</v>
      </c>
      <c r="M52" s="345">
        <f>(H52-I52)/1000</f>
        <v>-72.29372999999998</v>
      </c>
      <c r="N52" s="1013">
        <f>M52/I52*1000</f>
        <v>-0.3521839882980983</v>
      </c>
      <c r="O52" s="141"/>
      <c r="P52" s="141"/>
    </row>
    <row r="53" spans="1:14" ht="11.25">
      <c r="A53" s="903">
        <v>245104</v>
      </c>
      <c r="B53" s="33" t="s">
        <v>619</v>
      </c>
      <c r="C53" s="35"/>
      <c r="D53" s="1075">
        <f>VLOOKUP(A53,TB!$A:$E,5,FALSE)</f>
        <v>0</v>
      </c>
      <c r="E53" s="152"/>
      <c r="F53" s="151"/>
      <c r="G53" s="153"/>
      <c r="H53" s="151">
        <f>D53-F53+G53</f>
        <v>0</v>
      </c>
      <c r="I53" s="340">
        <v>0</v>
      </c>
      <c r="J53" s="340"/>
      <c r="K53" s="347">
        <f>(H53-J53)/1000</f>
        <v>0</v>
      </c>
      <c r="L53" s="786"/>
      <c r="M53" s="345">
        <f>(H53-I53)/1000</f>
        <v>0</v>
      </c>
      <c r="N53" s="1013"/>
    </row>
    <row r="54" spans="1:14" ht="12" thickBot="1">
      <c r="A54" s="31"/>
      <c r="B54" s="39" t="s">
        <v>942</v>
      </c>
      <c r="C54" s="37"/>
      <c r="D54" s="393">
        <f>SUM(D51:D53)</f>
        <v>9734319.85</v>
      </c>
      <c r="E54" s="398"/>
      <c r="F54" s="393">
        <f>SUM(F50:F53)</f>
        <v>0</v>
      </c>
      <c r="G54" s="393">
        <f>SUM(G50:G53)</f>
        <v>0</v>
      </c>
      <c r="H54" s="396">
        <f>D54-F54+G54</f>
        <v>9734319.85</v>
      </c>
      <c r="I54" s="372">
        <v>13825093.4</v>
      </c>
      <c r="J54" s="372">
        <f>SUM(J51:J53)</f>
        <v>11769110.620000001</v>
      </c>
      <c r="K54" s="401">
        <f>(H54-J54)/1000</f>
        <v>-2034.7907700000014</v>
      </c>
      <c r="L54" s="1020">
        <f>K54/J54*1000</f>
        <v>-0.1728924840371669</v>
      </c>
      <c r="M54" s="1189">
        <f>(H54-I54)/1000</f>
        <v>-4090.773550000001</v>
      </c>
      <c r="N54" s="1021">
        <f>M54/I54*1000</f>
        <v>-0.29589482194745975</v>
      </c>
    </row>
    <row r="55" spans="1:14" ht="12" thickTop="1">
      <c r="A55" s="143"/>
      <c r="B55" s="150"/>
      <c r="C55" s="145"/>
      <c r="D55" s="146"/>
      <c r="E55" s="147"/>
      <c r="F55" s="146"/>
      <c r="G55" s="148"/>
      <c r="H55" s="151"/>
      <c r="I55" s="373"/>
      <c r="J55" s="1464" t="s">
        <v>1140</v>
      </c>
      <c r="K55" s="347"/>
      <c r="L55" s="678"/>
      <c r="M55" s="1508"/>
      <c r="N55" s="21"/>
    </row>
    <row r="56" spans="1:14" ht="11.25">
      <c r="A56" s="31"/>
      <c r="B56" s="34"/>
      <c r="C56" s="35"/>
      <c r="D56" s="137"/>
      <c r="E56" s="138"/>
      <c r="F56" s="137"/>
      <c r="G56" s="139"/>
      <c r="H56" s="151"/>
      <c r="I56" s="340"/>
      <c r="J56" s="340"/>
      <c r="K56" s="347"/>
      <c r="L56" s="678"/>
      <c r="M56" s="1508"/>
      <c r="N56" s="21"/>
    </row>
    <row r="57" spans="1:14" ht="11.25">
      <c r="A57" s="31"/>
      <c r="B57" s="29" t="s">
        <v>875</v>
      </c>
      <c r="C57" s="35"/>
      <c r="D57" s="137"/>
      <c r="E57" s="138"/>
      <c r="F57" s="137"/>
      <c r="G57" s="139"/>
      <c r="H57" s="151"/>
      <c r="I57" s="340"/>
      <c r="J57" s="340"/>
      <c r="K57" s="347"/>
      <c r="L57" s="678"/>
      <c r="M57" s="1508"/>
      <c r="N57" s="21"/>
    </row>
    <row r="58" spans="1:14" ht="12.75">
      <c r="A58" s="903">
        <v>248130</v>
      </c>
      <c r="B58" s="292" t="s">
        <v>873</v>
      </c>
      <c r="C58" s="35"/>
      <c r="D58" s="1075">
        <f>-VLOOKUP(A58,TB!$A:$E,5,FALSE)</f>
        <v>2862908.75</v>
      </c>
      <c r="E58" s="138"/>
      <c r="F58" s="137"/>
      <c r="G58" s="139"/>
      <c r="H58" s="151">
        <f>D58-F58+G58</f>
        <v>2862908.75</v>
      </c>
      <c r="I58" s="340">
        <v>4418775.47</v>
      </c>
      <c r="J58" s="340">
        <v>3138203.75</v>
      </c>
      <c r="K58" s="347">
        <f>(H58-J58)/1000</f>
        <v>-275.295</v>
      </c>
      <c r="L58" s="786">
        <f>K58/J58*1000</f>
        <v>-0.08772374961313459</v>
      </c>
      <c r="M58" s="345">
        <f>(H58-I58)/1000</f>
        <v>-1555.8667199999998</v>
      </c>
      <c r="N58" s="1013">
        <f>M58/I58*1000</f>
        <v>-0.35210359307982664</v>
      </c>
    </row>
    <row r="59" spans="1:14" ht="15.75" customHeight="1">
      <c r="A59" s="903">
        <v>172140</v>
      </c>
      <c r="B59" s="293" t="s">
        <v>872</v>
      </c>
      <c r="C59" s="35"/>
      <c r="D59" s="1075">
        <f>-VLOOKUP(A59,TB!$A:$E,5,FALSE)</f>
        <v>-268103.28</v>
      </c>
      <c r="E59" s="152"/>
      <c r="F59" s="153"/>
      <c r="G59" s="153"/>
      <c r="H59" s="151">
        <f>D59-F59+G59</f>
        <v>-268103.28</v>
      </c>
      <c r="I59" s="374">
        <v>-532194.08</v>
      </c>
      <c r="J59" s="374">
        <v>-316844.48</v>
      </c>
      <c r="K59" s="347">
        <f>(H59-J59)/1000</f>
        <v>48.74119999999996</v>
      </c>
      <c r="L59" s="786">
        <f>K59/J59*1000</f>
        <v>-0.15383319917708513</v>
      </c>
      <c r="M59" s="345">
        <f>(H59-I59)/1000</f>
        <v>264.09079999999994</v>
      </c>
      <c r="N59" s="1013">
        <f>M59/I59*1000</f>
        <v>-0.49623024743153843</v>
      </c>
    </row>
    <row r="60" spans="1:14" ht="12" thickBot="1">
      <c r="A60" s="45"/>
      <c r="B60" s="155" t="s">
        <v>902</v>
      </c>
      <c r="C60" s="156"/>
      <c r="D60" s="157">
        <f>SUM(D58:D59)</f>
        <v>2594805.4699999997</v>
      </c>
      <c r="E60" s="158"/>
      <c r="F60" s="157"/>
      <c r="G60" s="159"/>
      <c r="H60" s="1066">
        <f>D60-F60+G60</f>
        <v>2594805.4699999997</v>
      </c>
      <c r="I60" s="375">
        <v>3886581.39</v>
      </c>
      <c r="J60" s="375">
        <f>SUM(J58:J59)</f>
        <v>2821359.27</v>
      </c>
      <c r="K60" s="401">
        <f>(H60-J60)/1000</f>
        <v>-226.55380000000028</v>
      </c>
      <c r="L60" s="1020">
        <f>K60/J60*1000</f>
        <v>-0.08029952172663224</v>
      </c>
      <c r="M60" s="1189">
        <f>(H60-I60)/1000</f>
        <v>-1291.7759200000005</v>
      </c>
      <c r="N60" s="1021">
        <f>M60/I60*1000</f>
        <v>-0.33236816378622147</v>
      </c>
    </row>
    <row r="61" spans="1:14" ht="23.25" thickTop="1">
      <c r="A61" s="31"/>
      <c r="B61" s="29" t="s">
        <v>905</v>
      </c>
      <c r="C61" s="35"/>
      <c r="D61" s="137"/>
      <c r="E61" s="138"/>
      <c r="F61" s="137"/>
      <c r="G61" s="139"/>
      <c r="H61" s="151"/>
      <c r="I61" s="340"/>
      <c r="J61" s="340"/>
      <c r="K61" s="347"/>
      <c r="L61" s="678"/>
      <c r="M61" s="1509"/>
      <c r="N61" s="343"/>
    </row>
    <row r="62" spans="1:14" ht="16.5" customHeight="1">
      <c r="A62" s="31"/>
      <c r="B62" s="33" t="s">
        <v>906</v>
      </c>
      <c r="C62" s="35"/>
      <c r="D62" s="450">
        <v>946414</v>
      </c>
      <c r="E62" s="138"/>
      <c r="F62" s="137"/>
      <c r="G62" s="139"/>
      <c r="H62" s="151">
        <f>D62-F62+G62</f>
        <v>946414</v>
      </c>
      <c r="I62" s="340">
        <v>1029187</v>
      </c>
      <c r="J62" s="340">
        <v>930181</v>
      </c>
      <c r="K62" s="347">
        <f>(H62-J62)/1000</f>
        <v>16.233</v>
      </c>
      <c r="L62" s="786">
        <f>K62/J62*1000</f>
        <v>0.017451442246186496</v>
      </c>
      <c r="M62" s="345">
        <f>(H62-I62)/1000</f>
        <v>-82.773</v>
      </c>
      <c r="N62" s="1013">
        <f>M62/I62*1000</f>
        <v>-0.08042561750197</v>
      </c>
    </row>
    <row r="63" spans="1:14" ht="15.75" customHeight="1">
      <c r="A63" s="31"/>
      <c r="B63" s="33" t="s">
        <v>907</v>
      </c>
      <c r="C63" s="35"/>
      <c r="D63" s="450">
        <f>D60-D62</f>
        <v>1648391.4699999997</v>
      </c>
      <c r="E63" s="152"/>
      <c r="F63" s="153"/>
      <c r="G63" s="153"/>
      <c r="H63" s="151">
        <f>D63-F63+G63</f>
        <v>1648391.4699999997</v>
      </c>
      <c r="I63" s="374">
        <v>2857394</v>
      </c>
      <c r="J63" s="374">
        <v>1891178</v>
      </c>
      <c r="K63" s="347">
        <f>(H63-J63)/1000</f>
        <v>-242.78653000000025</v>
      </c>
      <c r="L63" s="786">
        <f>K63/J63*1000</f>
        <v>-0.12837846569704187</v>
      </c>
      <c r="M63" s="345">
        <f>(H63-I63)/1000</f>
        <v>-1209.0025300000002</v>
      </c>
      <c r="N63" s="1013">
        <f>M63/I63*1000</f>
        <v>-0.42311369380631453</v>
      </c>
    </row>
    <row r="64" spans="1:14" ht="12" thickBot="1">
      <c r="A64" s="45"/>
      <c r="B64" s="155" t="s">
        <v>902</v>
      </c>
      <c r="C64" s="156"/>
      <c r="D64" s="157">
        <f>SUM(D62:D63)</f>
        <v>2594805.4699999997</v>
      </c>
      <c r="E64" s="158"/>
      <c r="F64" s="157"/>
      <c r="G64" s="159"/>
      <c r="H64" s="1066">
        <f>D64-F64+G64</f>
        <v>2594805.4699999997</v>
      </c>
      <c r="I64" s="375">
        <v>3886581</v>
      </c>
      <c r="J64" s="375">
        <f>SUM(J62:J63)</f>
        <v>2821359</v>
      </c>
      <c r="K64" s="401">
        <f>(H64-J64)/1000</f>
        <v>-226.55353000000025</v>
      </c>
      <c r="L64" s="1020">
        <f>K64/J64*1000</f>
        <v>-0.08029943371261873</v>
      </c>
      <c r="M64" s="1189">
        <f>(H64-I64)/1000</f>
        <v>-1291.7755300000003</v>
      </c>
      <c r="N64" s="1021">
        <f>M64/I64*1000</f>
        <v>-0.33236809679252804</v>
      </c>
    </row>
    <row r="65" spans="1:14" ht="12" thickTop="1">
      <c r="A65" s="103"/>
      <c r="B65" s="104"/>
      <c r="C65" s="160"/>
      <c r="D65" s="149"/>
      <c r="E65" s="149"/>
      <c r="F65" s="149"/>
      <c r="G65" s="149"/>
      <c r="H65" s="149"/>
      <c r="I65" s="376"/>
      <c r="J65" s="1201" t="s">
        <v>1140</v>
      </c>
      <c r="N65" s="351"/>
    </row>
    <row r="66" spans="4:14" ht="11.25">
      <c r="D66" s="54">
        <f>SUM(D60,D54,D48,D43,D38,D10)</f>
        <v>53416647.686227195</v>
      </c>
      <c r="I66" s="366"/>
      <c r="J66" s="366"/>
      <c r="N66" s="351"/>
    </row>
    <row r="67" ht="11.25">
      <c r="A67" s="1" t="s">
        <v>1141</v>
      </c>
    </row>
    <row r="68" spans="1:4" ht="11.25">
      <c r="A68" s="1" t="s">
        <v>1142</v>
      </c>
      <c r="D68" s="141"/>
    </row>
    <row r="70" ht="9.75" customHeight="1"/>
  </sheetData>
  <mergeCells count="9">
    <mergeCell ref="E2:G2"/>
    <mergeCell ref="E3:G3"/>
    <mergeCell ref="K3:L3"/>
    <mergeCell ref="M3:N3"/>
    <mergeCell ref="O5:P5"/>
    <mergeCell ref="K4:L4"/>
    <mergeCell ref="M4:N4"/>
    <mergeCell ref="K2:L2"/>
    <mergeCell ref="M2:N2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pane xSplit="2" ySplit="5" topLeftCell="C16" activePane="bottomRight" state="frozen"/>
      <selection pane="topLeft" activeCell="G30" sqref="G30"/>
      <selection pane="topRight" activeCell="G30" sqref="G30"/>
      <selection pane="bottomLeft" activeCell="G30" sqref="G30"/>
      <selection pane="bottomRight" activeCell="G30" sqref="G30"/>
    </sheetView>
  </sheetViews>
  <sheetFormatPr defaultColWidth="9.140625" defaultRowHeight="21.75"/>
  <cols>
    <col min="1" max="1" width="10.28125" style="51" customWidth="1"/>
    <col min="2" max="2" width="27.140625" style="51" bestFit="1" customWidth="1"/>
    <col min="3" max="3" width="3.57421875" style="51" bestFit="1" customWidth="1"/>
    <col min="4" max="4" width="10.7109375" style="54" customWidth="1"/>
    <col min="5" max="5" width="7.140625" style="54" customWidth="1"/>
    <col min="6" max="6" width="9.8515625" style="54" customWidth="1"/>
    <col min="7" max="7" width="9.00390625" style="54" customWidth="1"/>
    <col min="8" max="8" width="12.8515625" style="54" bestFit="1" customWidth="1"/>
    <col min="9" max="10" width="10.7109375" style="266" bestFit="1" customWidth="1"/>
    <col min="11" max="11" width="11.28125" style="54" bestFit="1" customWidth="1"/>
    <col min="12" max="12" width="5.8515625" style="62" bestFit="1" customWidth="1"/>
    <col min="13" max="13" width="11.28125" style="51" bestFit="1" customWidth="1"/>
    <col min="14" max="14" width="5.8515625" style="51" bestFit="1" customWidth="1"/>
    <col min="15" max="16384" width="9.140625" style="51" customWidth="1"/>
  </cols>
  <sheetData>
    <row r="1" spans="1:3" ht="11.25">
      <c r="A1" s="60" t="s">
        <v>485</v>
      </c>
      <c r="B1" s="60"/>
      <c r="C1" s="60"/>
    </row>
    <row r="2" spans="1:14" ht="11.25">
      <c r="A2" s="63"/>
      <c r="B2" s="64"/>
      <c r="C2" s="63"/>
      <c r="D2" s="1096" t="str">
        <f>'4100'!D2</f>
        <v>Quarter 1'08</v>
      </c>
      <c r="E2" s="1686" t="s">
        <v>486</v>
      </c>
      <c r="F2" s="1699"/>
      <c r="G2" s="1700"/>
      <c r="H2" s="898" t="str">
        <f>'4100'!H2</f>
        <v>Quarter 1'08</v>
      </c>
      <c r="I2" s="66" t="s">
        <v>818</v>
      </c>
      <c r="J2" s="66" t="str">
        <f>'4100'!J2</f>
        <v>Year ended</v>
      </c>
      <c r="K2" s="1690" t="s">
        <v>487</v>
      </c>
      <c r="L2" s="1691"/>
      <c r="M2" s="1686" t="s">
        <v>487</v>
      </c>
      <c r="N2" s="1687"/>
    </row>
    <row r="3" spans="1:14" ht="11.25">
      <c r="A3" s="67" t="s">
        <v>488</v>
      </c>
      <c r="B3" s="68"/>
      <c r="C3" s="67"/>
      <c r="D3" s="1056">
        <f>'4100'!D3</f>
        <v>39538</v>
      </c>
      <c r="E3" s="1688" t="s">
        <v>489</v>
      </c>
      <c r="F3" s="1701"/>
      <c r="G3" s="1702"/>
      <c r="H3" s="899">
        <f>'4100'!H3</f>
        <v>39538</v>
      </c>
      <c r="I3" s="166">
        <v>39172</v>
      </c>
      <c r="J3" s="166">
        <f>'4100'!J3</f>
        <v>39447</v>
      </c>
      <c r="K3" s="1692" t="s">
        <v>490</v>
      </c>
      <c r="L3" s="1693"/>
      <c r="M3" s="1709" t="s">
        <v>490</v>
      </c>
      <c r="N3" s="1708"/>
    </row>
    <row r="4" spans="1:14" ht="12.75">
      <c r="A4" s="73" t="s">
        <v>491</v>
      </c>
      <c r="B4" s="74" t="s">
        <v>492</v>
      </c>
      <c r="C4" s="73" t="s">
        <v>493</v>
      </c>
      <c r="D4" s="1064" t="s">
        <v>869</v>
      </c>
      <c r="E4" s="75" t="s">
        <v>494</v>
      </c>
      <c r="F4" s="76" t="s">
        <v>495</v>
      </c>
      <c r="G4" s="77" t="s">
        <v>496</v>
      </c>
      <c r="H4" s="1064" t="s">
        <v>885</v>
      </c>
      <c r="I4" s="358" t="s">
        <v>885</v>
      </c>
      <c r="J4" s="358" t="s">
        <v>885</v>
      </c>
      <c r="K4" s="1694" t="str">
        <f>'4100'!K4</f>
        <v>compare to YE'07</v>
      </c>
      <c r="L4" s="1706">
        <f>'4100'!L4</f>
        <v>0</v>
      </c>
      <c r="M4" s="1707" t="str">
        <f>'4100'!M4</f>
        <v>From Q1'07</v>
      </c>
      <c r="N4" s="1708">
        <f>'4100'!N4</f>
        <v>0</v>
      </c>
    </row>
    <row r="5" spans="1:14" ht="11.25">
      <c r="A5" s="81"/>
      <c r="B5" s="82"/>
      <c r="C5" s="82"/>
      <c r="D5" s="1065" t="s">
        <v>497</v>
      </c>
      <c r="E5" s="83" t="s">
        <v>498</v>
      </c>
      <c r="F5" s="77" t="s">
        <v>497</v>
      </c>
      <c r="G5" s="77" t="s">
        <v>497</v>
      </c>
      <c r="H5" s="1065" t="s">
        <v>497</v>
      </c>
      <c r="I5" s="85" t="s">
        <v>497</v>
      </c>
      <c r="J5" s="85" t="s">
        <v>497</v>
      </c>
      <c r="K5" s="76" t="s">
        <v>499</v>
      </c>
      <c r="L5" s="80" t="s">
        <v>500</v>
      </c>
      <c r="M5" s="76" t="s">
        <v>499</v>
      </c>
      <c r="N5" s="353" t="s">
        <v>500</v>
      </c>
    </row>
    <row r="6" spans="1:14" ht="11.25">
      <c r="A6" s="9"/>
      <c r="B6" s="20"/>
      <c r="C6" s="87"/>
      <c r="D6" s="12"/>
      <c r="E6" s="88"/>
      <c r="F6" s="12"/>
      <c r="G6" s="12"/>
      <c r="H6" s="114"/>
      <c r="I6" s="359"/>
      <c r="J6" s="359"/>
      <c r="K6" s="14"/>
      <c r="L6" s="682"/>
      <c r="M6" s="234"/>
      <c r="N6" s="234"/>
    </row>
    <row r="7" spans="1:14" ht="11.25">
      <c r="A7" s="22" t="s">
        <v>620</v>
      </c>
      <c r="B7" s="86" t="s">
        <v>621</v>
      </c>
      <c r="C7" s="91"/>
      <c r="D7" s="444"/>
      <c r="E7" s="442"/>
      <c r="F7" s="444"/>
      <c r="G7" s="444"/>
      <c r="H7" s="447"/>
      <c r="I7" s="451"/>
      <c r="J7" s="451"/>
      <c r="K7" s="432"/>
      <c r="L7" s="683"/>
      <c r="M7" s="235"/>
      <c r="N7" s="235"/>
    </row>
    <row r="8" spans="1:14" ht="12" thickBot="1">
      <c r="A8" s="907">
        <v>300000</v>
      </c>
      <c r="B8" s="86" t="s">
        <v>622</v>
      </c>
      <c r="C8" s="91"/>
      <c r="D8" s="639">
        <v>121500000</v>
      </c>
      <c r="E8" s="442"/>
      <c r="F8" s="444"/>
      <c r="G8" s="444"/>
      <c r="H8" s="639">
        <f>D8-F8+G8</f>
        <v>121500000</v>
      </c>
      <c r="I8" s="640">
        <v>121500000</v>
      </c>
      <c r="J8" s="640">
        <v>121500000</v>
      </c>
      <c r="K8" s="750">
        <f>(H8-J8)/1000</f>
        <v>0</v>
      </c>
      <c r="L8" s="1022">
        <f>K8/J8*1000</f>
        <v>0</v>
      </c>
      <c r="M8" s="1008">
        <f>(H8-I8)/1000</f>
        <v>0</v>
      </c>
      <c r="N8" s="1023">
        <f>M8/I8*1000</f>
        <v>0</v>
      </c>
    </row>
    <row r="9" spans="1:14" ht="12" thickTop="1">
      <c r="A9" s="22"/>
      <c r="B9" s="86"/>
      <c r="C9" s="91"/>
      <c r="D9" s="447"/>
      <c r="E9" s="442"/>
      <c r="F9" s="444"/>
      <c r="G9" s="444"/>
      <c r="H9" s="447"/>
      <c r="I9" s="449"/>
      <c r="J9" s="449"/>
      <c r="K9" s="561"/>
      <c r="L9" s="683"/>
      <c r="M9" s="235"/>
      <c r="N9" s="235"/>
    </row>
    <row r="10" spans="1:14" ht="11.25">
      <c r="A10" s="28"/>
      <c r="B10" s="23" t="s">
        <v>909</v>
      </c>
      <c r="C10" s="91"/>
      <c r="D10" s="447"/>
      <c r="E10" s="442"/>
      <c r="F10" s="444"/>
      <c r="G10" s="444"/>
      <c r="H10" s="447"/>
      <c r="I10" s="449"/>
      <c r="J10" s="449"/>
      <c r="K10" s="561"/>
      <c r="L10" s="683"/>
      <c r="M10" s="235"/>
      <c r="N10" s="235"/>
    </row>
    <row r="11" spans="1:14" ht="11.25">
      <c r="A11" s="28"/>
      <c r="B11" s="86"/>
      <c r="C11" s="91"/>
      <c r="D11" s="447"/>
      <c r="E11" s="442"/>
      <c r="F11" s="444"/>
      <c r="G11" s="444"/>
      <c r="H11" s="447"/>
      <c r="I11" s="449"/>
      <c r="J11" s="449"/>
      <c r="K11" s="561"/>
      <c r="L11" s="683"/>
      <c r="M11" s="235"/>
      <c r="N11" s="235"/>
    </row>
    <row r="12" spans="1:14" ht="11.25">
      <c r="A12" s="19">
        <v>310000</v>
      </c>
      <c r="B12" s="86" t="s">
        <v>623</v>
      </c>
      <c r="C12" s="91"/>
      <c r="D12" s="447"/>
      <c r="E12" s="442"/>
      <c r="F12" s="444"/>
      <c r="G12" s="444"/>
      <c r="H12" s="447"/>
      <c r="I12" s="449"/>
      <c r="J12" s="449"/>
      <c r="K12" s="347">
        <f>(H12-J12)/1000</f>
        <v>0</v>
      </c>
      <c r="L12" s="786" t="e">
        <f>K12/J12*1000</f>
        <v>#DIV/0!</v>
      </c>
      <c r="M12" s="655">
        <f>(H12-I12)/1000</f>
        <v>0</v>
      </c>
      <c r="N12" s="1013" t="e">
        <f>M12/I12*1000</f>
        <v>#DIV/0!</v>
      </c>
    </row>
    <row r="13" spans="1:14" ht="11.25">
      <c r="A13" s="19">
        <v>310000</v>
      </c>
      <c r="B13" s="86" t="s">
        <v>622</v>
      </c>
      <c r="C13" s="91"/>
      <c r="D13" s="547">
        <v>121500000</v>
      </c>
      <c r="E13" s="442"/>
      <c r="F13" s="444"/>
      <c r="G13" s="444"/>
      <c r="H13" s="547">
        <f>D13-F13+G13</f>
        <v>121500000</v>
      </c>
      <c r="I13" s="642">
        <v>121500000</v>
      </c>
      <c r="J13" s="642">
        <v>121500000</v>
      </c>
      <c r="K13" s="603">
        <f>(H13-J13)/1000</f>
        <v>0</v>
      </c>
      <c r="L13" s="1010">
        <f>K13/J13*1000</f>
        <v>0</v>
      </c>
      <c r="M13" s="747">
        <f>(H13-I13)/1000</f>
        <v>0</v>
      </c>
      <c r="N13" s="1017">
        <f>M13/I13*1000</f>
        <v>0</v>
      </c>
    </row>
    <row r="14" spans="1:14" ht="11.25">
      <c r="A14" s="133"/>
      <c r="B14" s="43"/>
      <c r="C14" s="91"/>
      <c r="D14" s="447"/>
      <c r="E14" s="442"/>
      <c r="F14" s="444"/>
      <c r="G14" s="444"/>
      <c r="H14" s="447"/>
      <c r="I14" s="449"/>
      <c r="J14" s="449"/>
      <c r="K14" s="561"/>
      <c r="L14" s="683"/>
      <c r="M14" s="235"/>
      <c r="N14" s="355"/>
    </row>
    <row r="15" spans="1:14" ht="11.25">
      <c r="A15" s="133"/>
      <c r="B15" s="23" t="s">
        <v>624</v>
      </c>
      <c r="C15" s="91"/>
      <c r="D15" s="447"/>
      <c r="E15" s="442"/>
      <c r="F15" s="444"/>
      <c r="G15" s="444"/>
      <c r="H15" s="447"/>
      <c r="I15" s="449"/>
      <c r="J15" s="449"/>
      <c r="K15" s="561"/>
      <c r="L15" s="683"/>
      <c r="M15" s="235"/>
      <c r="N15" s="355"/>
    </row>
    <row r="16" spans="1:14" ht="11.25">
      <c r="A16" s="133"/>
      <c r="B16" s="43"/>
      <c r="C16" s="91"/>
      <c r="D16" s="447"/>
      <c r="E16" s="442"/>
      <c r="F16" s="444"/>
      <c r="G16" s="444"/>
      <c r="H16" s="447"/>
      <c r="I16" s="449"/>
      <c r="J16" s="449"/>
      <c r="K16" s="561"/>
      <c r="L16" s="683"/>
      <c r="M16" s="235"/>
      <c r="N16" s="355"/>
    </row>
    <row r="17" spans="1:14" ht="11.25">
      <c r="A17" s="19">
        <v>311000</v>
      </c>
      <c r="B17" s="43" t="s">
        <v>624</v>
      </c>
      <c r="C17" s="91"/>
      <c r="D17" s="547">
        <v>233350000</v>
      </c>
      <c r="E17" s="442"/>
      <c r="F17" s="444"/>
      <c r="G17" s="444"/>
      <c r="H17" s="547">
        <f>D17-F17+G17</f>
        <v>233350000</v>
      </c>
      <c r="I17" s="642">
        <v>233350000</v>
      </c>
      <c r="J17" s="642">
        <v>233350000</v>
      </c>
      <c r="K17" s="603">
        <f>(H17-J17)/1000</f>
        <v>0</v>
      </c>
      <c r="L17" s="1010">
        <f>K17/J17*1000</f>
        <v>0</v>
      </c>
      <c r="M17" s="747">
        <f>(H17-I17)/1000</f>
        <v>0</v>
      </c>
      <c r="N17" s="1017">
        <f>M17/I17*1000</f>
        <v>0</v>
      </c>
    </row>
    <row r="18" spans="1:14" ht="11.25">
      <c r="A18" s="22"/>
      <c r="B18" s="86"/>
      <c r="C18" s="91"/>
      <c r="D18" s="447"/>
      <c r="E18" s="463"/>
      <c r="F18" s="444"/>
      <c r="G18" s="444"/>
      <c r="H18" s="447"/>
      <c r="I18" s="449"/>
      <c r="J18" s="449"/>
      <c r="K18" s="561"/>
      <c r="L18" s="683"/>
      <c r="M18" s="235"/>
      <c r="N18" s="355"/>
    </row>
    <row r="19" spans="1:14" ht="11.25">
      <c r="A19" s="22"/>
      <c r="B19" s="86"/>
      <c r="C19" s="91"/>
      <c r="D19" s="447"/>
      <c r="E19" s="463"/>
      <c r="F19" s="444"/>
      <c r="G19" s="444"/>
      <c r="H19" s="447"/>
      <c r="I19" s="449"/>
      <c r="J19" s="449"/>
      <c r="K19" s="561"/>
      <c r="L19" s="683"/>
      <c r="M19" s="235"/>
      <c r="N19" s="355"/>
    </row>
    <row r="20" spans="1:14" ht="11.25">
      <c r="A20" s="22"/>
      <c r="B20" s="23" t="s">
        <v>626</v>
      </c>
      <c r="C20" s="91"/>
      <c r="D20" s="447"/>
      <c r="E20" s="463"/>
      <c r="F20" s="444"/>
      <c r="G20" s="444"/>
      <c r="H20" s="447"/>
      <c r="I20" s="449"/>
      <c r="J20" s="449"/>
      <c r="K20" s="561"/>
      <c r="L20" s="683"/>
      <c r="M20" s="235"/>
      <c r="N20" s="355"/>
    </row>
    <row r="21" spans="1:14" ht="11.25">
      <c r="A21" s="22"/>
      <c r="B21" s="86"/>
      <c r="C21" s="91"/>
      <c r="D21" s="447"/>
      <c r="E21" s="463"/>
      <c r="F21" s="444"/>
      <c r="G21" s="444"/>
      <c r="H21" s="447"/>
      <c r="I21" s="449"/>
      <c r="J21" s="449"/>
      <c r="K21" s="561"/>
      <c r="L21" s="683"/>
      <c r="M21" s="235"/>
      <c r="N21" s="355"/>
    </row>
    <row r="22" spans="1:14" ht="11.25">
      <c r="A22" s="98">
        <v>322000</v>
      </c>
      <c r="B22" s="43" t="s">
        <v>627</v>
      </c>
      <c r="C22" s="91"/>
      <c r="D22" s="1075">
        <f>VLOOKUP(A22,TB!$A:$E,5,FALSE)</f>
        <v>0</v>
      </c>
      <c r="E22" s="463"/>
      <c r="F22" s="444"/>
      <c r="G22" s="444"/>
      <c r="H22" s="447"/>
      <c r="I22" s="449"/>
      <c r="J22" s="449"/>
      <c r="K22" s="561"/>
      <c r="L22" s="683"/>
      <c r="M22" s="235"/>
      <c r="N22" s="355"/>
    </row>
    <row r="23" spans="1:14" ht="11.25">
      <c r="A23" s="907"/>
      <c r="B23" s="43" t="s">
        <v>910</v>
      </c>
      <c r="C23" s="91"/>
      <c r="D23" s="450"/>
      <c r="E23" s="463"/>
      <c r="F23" s="444"/>
      <c r="G23" s="444"/>
      <c r="H23" s="447"/>
      <c r="I23" s="449"/>
      <c r="J23" s="449"/>
      <c r="K23" s="561"/>
      <c r="L23" s="683"/>
      <c r="M23" s="235"/>
      <c r="N23" s="355"/>
    </row>
    <row r="24" spans="1:14" ht="11.25">
      <c r="A24" s="907">
        <v>322100</v>
      </c>
      <c r="B24" s="86" t="s">
        <v>911</v>
      </c>
      <c r="C24" s="91"/>
      <c r="D24" s="1075">
        <f>J24</f>
        <v>12150000</v>
      </c>
      <c r="E24" s="463"/>
      <c r="F24" s="444"/>
      <c r="G24" s="444"/>
      <c r="H24" s="447">
        <f>D24-F24+G24</f>
        <v>12150000</v>
      </c>
      <c r="I24" s="449">
        <v>12150000</v>
      </c>
      <c r="J24" s="449">
        <v>12150000</v>
      </c>
      <c r="K24" s="347">
        <f>(H24-J24)/1000</f>
        <v>0</v>
      </c>
      <c r="L24" s="786">
        <f>K24/J24*1000</f>
        <v>0</v>
      </c>
      <c r="M24" s="655">
        <f>(H24-I24)/1000</f>
        <v>0</v>
      </c>
      <c r="N24" s="1013">
        <f>M24/I24*1000</f>
        <v>0</v>
      </c>
    </row>
    <row r="25" spans="1:14" ht="11.25">
      <c r="A25" s="22"/>
      <c r="B25" s="86" t="s">
        <v>912</v>
      </c>
      <c r="C25" s="91"/>
      <c r="D25" s="447"/>
      <c r="E25" s="463"/>
      <c r="F25" s="444"/>
      <c r="G25" s="444"/>
      <c r="H25" s="447"/>
      <c r="I25" s="449"/>
      <c r="J25" s="449"/>
      <c r="K25" s="561"/>
      <c r="L25" s="683"/>
      <c r="M25" s="235"/>
      <c r="N25" s="355"/>
    </row>
    <row r="26" spans="1:14" ht="11.25">
      <c r="A26" s="22"/>
      <c r="B26" s="86" t="s">
        <v>913</v>
      </c>
      <c r="C26" s="91"/>
      <c r="D26" s="547">
        <f>SUM(D24:D25)</f>
        <v>12150000</v>
      </c>
      <c r="E26" s="463"/>
      <c r="F26" s="444"/>
      <c r="G26" s="444"/>
      <c r="H26" s="547">
        <f>D26-F26+G26</f>
        <v>12150000</v>
      </c>
      <c r="I26" s="642">
        <v>12150000</v>
      </c>
      <c r="J26" s="642">
        <v>12150000</v>
      </c>
      <c r="K26" s="603">
        <f>(H26-J26)/1000</f>
        <v>0</v>
      </c>
      <c r="L26" s="1010">
        <f>K26/J26*1000</f>
        <v>0</v>
      </c>
      <c r="M26" s="747">
        <f>(H26-I26)/1000</f>
        <v>0</v>
      </c>
      <c r="N26" s="1017">
        <f>M26/I26*1000</f>
        <v>0</v>
      </c>
    </row>
    <row r="27" spans="1:14" ht="11.25">
      <c r="A27" s="22"/>
      <c r="B27" s="86"/>
      <c r="C27" s="91"/>
      <c r="D27" s="447"/>
      <c r="E27" s="463"/>
      <c r="F27" s="444"/>
      <c r="G27" s="444"/>
      <c r="H27" s="447"/>
      <c r="I27" s="449"/>
      <c r="J27" s="449"/>
      <c r="K27" s="561"/>
      <c r="L27" s="683"/>
      <c r="M27" s="235"/>
      <c r="N27" s="355"/>
    </row>
    <row r="28" spans="1:14" ht="11.25">
      <c r="A28" s="22" t="s">
        <v>628</v>
      </c>
      <c r="B28" s="86" t="s">
        <v>629</v>
      </c>
      <c r="C28" s="91"/>
      <c r="D28" s="444"/>
      <c r="E28" s="463"/>
      <c r="F28" s="444"/>
      <c r="G28" s="444"/>
      <c r="H28" s="447"/>
      <c r="I28" s="451"/>
      <c r="J28" s="451"/>
      <c r="K28" s="561"/>
      <c r="L28" s="683"/>
      <c r="M28" s="235"/>
      <c r="N28" s="355"/>
    </row>
    <row r="29" spans="1:14" ht="11.25">
      <c r="A29" s="22"/>
      <c r="B29" s="86" t="s">
        <v>914</v>
      </c>
      <c r="C29" s="91"/>
      <c r="D29" s="444">
        <f>J34</f>
        <v>251380662.50213343</v>
      </c>
      <c r="E29" s="463"/>
      <c r="F29" s="444"/>
      <c r="G29" s="444"/>
      <c r="H29" s="114">
        <f aca="true" t="shared" si="0" ref="H29:H34">D29-F29+G29</f>
        <v>251380662.50213343</v>
      </c>
      <c r="I29" s="451">
        <v>251380662.50213343</v>
      </c>
      <c r="J29" s="451">
        <v>286274889.0751553</v>
      </c>
      <c r="K29" s="347">
        <f aca="true" t="shared" si="1" ref="K29:K34">(H29-J29)/1000</f>
        <v>-34894.226573021886</v>
      </c>
      <c r="L29" s="786">
        <f aca="true" t="shared" si="2" ref="L29:L34">K29/J29*1000</f>
        <v>-0.12189062996671411</v>
      </c>
      <c r="M29" s="655">
        <f aca="true" t="shared" si="3" ref="M29:M34">(H29-I29)/1000</f>
        <v>0</v>
      </c>
      <c r="N29" s="1013">
        <f>M29/I29*1000</f>
        <v>0</v>
      </c>
    </row>
    <row r="30" spans="1:14" ht="11.25">
      <c r="A30" s="22"/>
      <c r="B30" s="86" t="s">
        <v>1064</v>
      </c>
      <c r="C30" s="91"/>
      <c r="D30" s="444">
        <v>0</v>
      </c>
      <c r="E30" s="463"/>
      <c r="F30" s="444"/>
      <c r="G30" s="444"/>
      <c r="H30" s="447">
        <f t="shared" si="0"/>
        <v>0</v>
      </c>
      <c r="I30" s="451">
        <v>0</v>
      </c>
      <c r="J30" s="451">
        <v>-85050000</v>
      </c>
      <c r="K30" s="347">
        <f t="shared" si="1"/>
        <v>85050</v>
      </c>
      <c r="L30" s="786">
        <f t="shared" si="2"/>
        <v>-1</v>
      </c>
      <c r="M30" s="655">
        <f t="shared" si="3"/>
        <v>0</v>
      </c>
      <c r="N30" s="1013"/>
    </row>
    <row r="31" spans="1:14" ht="11.25">
      <c r="A31" s="22"/>
      <c r="B31" s="86" t="s">
        <v>915</v>
      </c>
      <c r="C31" s="91"/>
      <c r="D31" s="447">
        <f>'Control PL'!D26</f>
        <v>12737242.96723296</v>
      </c>
      <c r="E31" s="558"/>
      <c r="F31" s="447">
        <f>'Control PL'!L26</f>
        <v>0</v>
      </c>
      <c r="G31" s="447">
        <f>'Control PL'!M26</f>
        <v>0</v>
      </c>
      <c r="H31" s="114">
        <f t="shared" si="0"/>
        <v>12737242.96723296</v>
      </c>
      <c r="I31" s="451">
        <v>11252107.586358692</v>
      </c>
      <c r="J31" s="451">
        <v>50155773.42697812</v>
      </c>
      <c r="K31" s="347">
        <f t="shared" si="1"/>
        <v>-37418.53045974516</v>
      </c>
      <c r="L31" s="786">
        <f t="shared" si="2"/>
        <v>-0.7460463253392527</v>
      </c>
      <c r="M31" s="655">
        <f t="shared" si="3"/>
        <v>1485.135380874267</v>
      </c>
      <c r="N31" s="1013">
        <f>M31/I31*1000</f>
        <v>0.13198730722009328</v>
      </c>
    </row>
    <row r="32" spans="1:14" ht="11.25">
      <c r="A32" s="22"/>
      <c r="B32" s="86" t="s">
        <v>916</v>
      </c>
      <c r="C32" s="91"/>
      <c r="D32" s="444">
        <v>0</v>
      </c>
      <c r="E32" s="463"/>
      <c r="F32" s="444"/>
      <c r="G32" s="444"/>
      <c r="H32" s="447">
        <f t="shared" si="0"/>
        <v>0</v>
      </c>
      <c r="I32" s="451">
        <v>0</v>
      </c>
      <c r="J32" s="451">
        <v>0</v>
      </c>
      <c r="K32" s="347">
        <f t="shared" si="1"/>
        <v>0</v>
      </c>
      <c r="L32" s="786"/>
      <c r="M32" s="655">
        <f t="shared" si="3"/>
        <v>0</v>
      </c>
      <c r="N32" s="1013"/>
    </row>
    <row r="33" spans="1:14" ht="11.25">
      <c r="A33" s="22"/>
      <c r="B33" s="86" t="s">
        <v>917</v>
      </c>
      <c r="C33" s="91"/>
      <c r="D33" s="444">
        <v>0</v>
      </c>
      <c r="E33" s="463"/>
      <c r="F33" s="444"/>
      <c r="G33" s="444"/>
      <c r="H33" s="447">
        <f t="shared" si="0"/>
        <v>0</v>
      </c>
      <c r="I33" s="451">
        <v>0</v>
      </c>
      <c r="J33" s="451">
        <v>0</v>
      </c>
      <c r="K33" s="347">
        <f t="shared" si="1"/>
        <v>0</v>
      </c>
      <c r="L33" s="786"/>
      <c r="M33" s="655">
        <f t="shared" si="3"/>
        <v>0</v>
      </c>
      <c r="N33" s="1013"/>
    </row>
    <row r="34" spans="1:14" ht="11.25">
      <c r="A34" s="22"/>
      <c r="B34" s="86"/>
      <c r="C34" s="91"/>
      <c r="D34" s="546">
        <f>SUM(D29:D33)</f>
        <v>264117905.4693664</v>
      </c>
      <c r="E34" s="463"/>
      <c r="F34" s="546">
        <f>SUM(F6:F33)</f>
        <v>0</v>
      </c>
      <c r="G34" s="546">
        <f>SUM(G6:G33)</f>
        <v>0</v>
      </c>
      <c r="H34" s="547">
        <f t="shared" si="0"/>
        <v>264117905.4693664</v>
      </c>
      <c r="I34" s="546">
        <v>262632770.08849213</v>
      </c>
      <c r="J34" s="546">
        <f>SUM(J29:J33)</f>
        <v>251380662.50213343</v>
      </c>
      <c r="K34" s="603">
        <f t="shared" si="1"/>
        <v>12737.242967232973</v>
      </c>
      <c r="L34" s="1010">
        <f t="shared" si="2"/>
        <v>0.050669143920825145</v>
      </c>
      <c r="M34" s="747">
        <f t="shared" si="3"/>
        <v>1485.135380874276</v>
      </c>
      <c r="N34" s="1017">
        <f>M34/I34*1000</f>
        <v>0.005654798448700331</v>
      </c>
    </row>
    <row r="35" spans="1:14" ht="11.25">
      <c r="A35" s="22"/>
      <c r="B35" s="86"/>
      <c r="C35" s="91"/>
      <c r="D35" s="444"/>
      <c r="E35" s="463"/>
      <c r="F35" s="444"/>
      <c r="G35" s="444"/>
      <c r="H35" s="447"/>
      <c r="I35" s="451"/>
      <c r="J35" s="451">
        <v>0</v>
      </c>
      <c r="K35" s="561"/>
      <c r="L35" s="683"/>
      <c r="M35" s="235"/>
      <c r="N35" s="355"/>
    </row>
    <row r="36" spans="1:14" ht="11.25">
      <c r="A36" s="22"/>
      <c r="B36" s="86"/>
      <c r="C36" s="91"/>
      <c r="D36" s="444"/>
      <c r="E36" s="463"/>
      <c r="F36" s="444"/>
      <c r="G36" s="444"/>
      <c r="H36" s="447"/>
      <c r="I36" s="451"/>
      <c r="J36" s="451">
        <v>0</v>
      </c>
      <c r="K36" s="643"/>
      <c r="L36" s="684"/>
      <c r="M36" s="235"/>
      <c r="N36" s="355"/>
    </row>
    <row r="37" spans="1:14" ht="11.25">
      <c r="A37" s="100"/>
      <c r="B37" s="100" t="s">
        <v>918</v>
      </c>
      <c r="C37" s="101"/>
      <c r="D37" s="459">
        <f>D13+D17+D26+D34</f>
        <v>631117905.4693664</v>
      </c>
      <c r="E37" s="644"/>
      <c r="F37" s="459">
        <f>F13+F17+F26+F34</f>
        <v>0</v>
      </c>
      <c r="G37" s="459">
        <f>G13+G17+G26+G34</f>
        <v>0</v>
      </c>
      <c r="H37" s="459">
        <f>D37-F37+G37</f>
        <v>631117905.4693664</v>
      </c>
      <c r="I37" s="461">
        <v>629632770.0884922</v>
      </c>
      <c r="J37" s="461">
        <f>J13+J17+J26+J34</f>
        <v>618380662.5021334</v>
      </c>
      <c r="K37" s="603">
        <f>(H37-J37)/1000</f>
        <v>12737.242967233062</v>
      </c>
      <c r="L37" s="1010">
        <f>K37/J37*1000</f>
        <v>0.0205977381564533</v>
      </c>
      <c r="M37" s="747">
        <f>(H37-I37)/1000</f>
        <v>1485.135380874276</v>
      </c>
      <c r="N37" s="1017">
        <f>M37/I37*1000</f>
        <v>0.002358732663589836</v>
      </c>
    </row>
    <row r="38" spans="1:10" ht="11.25">
      <c r="A38" s="104"/>
      <c r="B38" s="104"/>
      <c r="C38" s="104"/>
      <c r="D38" s="141"/>
      <c r="E38" s="141"/>
      <c r="F38" s="141"/>
      <c r="G38" s="141"/>
      <c r="H38" s="141"/>
      <c r="J38" s="1201" t="s">
        <v>1140</v>
      </c>
    </row>
    <row r="39" ht="11.25">
      <c r="A39" s="1" t="s">
        <v>1141</v>
      </c>
    </row>
    <row r="40" ht="11.25">
      <c r="A40" s="1" t="s">
        <v>1142</v>
      </c>
    </row>
  </sheetData>
  <mergeCells count="8">
    <mergeCell ref="E2:G2"/>
    <mergeCell ref="K2:L2"/>
    <mergeCell ref="E3:G3"/>
    <mergeCell ref="K3:L3"/>
    <mergeCell ref="M2:N2"/>
    <mergeCell ref="M3:N3"/>
    <mergeCell ref="M4:N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pane xSplit="2" ySplit="6" topLeftCell="C10" activePane="bottomRight" state="frozen"/>
      <selection pane="topLeft" activeCell="G30" sqref="G30"/>
      <selection pane="topRight" activeCell="G30" sqref="G30"/>
      <selection pane="bottomLeft" activeCell="G30" sqref="G30"/>
      <selection pane="bottomRight" activeCell="G30" sqref="G30"/>
    </sheetView>
  </sheetViews>
  <sheetFormatPr defaultColWidth="9.140625" defaultRowHeight="21.75"/>
  <cols>
    <col min="1" max="1" width="13.8515625" style="50" customWidth="1"/>
    <col min="2" max="2" width="22.57421875" style="51" bestFit="1" customWidth="1"/>
    <col min="3" max="3" width="4.57421875" style="51" customWidth="1"/>
    <col min="4" max="4" width="12.421875" style="416" hidden="1" customWidth="1"/>
    <col min="5" max="7" width="9.00390625" style="54" hidden="1" customWidth="1"/>
    <col min="8" max="8" width="10.8515625" style="54" bestFit="1" customWidth="1"/>
    <col min="9" max="10" width="10.7109375" style="54" bestFit="1" customWidth="1"/>
    <col min="11" max="11" width="8.00390625" style="54" customWidth="1"/>
    <col min="12" max="12" width="8.8515625" style="62" customWidth="1"/>
    <col min="13" max="13" width="8.28125" style="62" bestFit="1" customWidth="1"/>
    <col min="14" max="14" width="7.57421875" style="62" bestFit="1" customWidth="1"/>
    <col min="15" max="31" width="9.00390625" style="51" customWidth="1"/>
    <col min="32" max="16384" width="9.140625" style="51" customWidth="1"/>
  </cols>
  <sheetData>
    <row r="1" spans="1:3" ht="11.25">
      <c r="A1" s="744" t="s">
        <v>485</v>
      </c>
      <c r="B1" s="60"/>
      <c r="C1" s="60"/>
    </row>
    <row r="2" spans="1:3" ht="11.25">
      <c r="A2" s="744"/>
      <c r="B2" s="60"/>
      <c r="C2" s="60"/>
    </row>
    <row r="3" spans="1:14" ht="11.25">
      <c r="A3" s="63"/>
      <c r="B3" s="64"/>
      <c r="C3" s="63"/>
      <c r="D3" s="1096" t="str">
        <f>'Control PL'!D2</f>
        <v>Quarter 1'08</v>
      </c>
      <c r="E3" s="1690" t="s">
        <v>486</v>
      </c>
      <c r="F3" s="477"/>
      <c r="G3" s="285"/>
      <c r="H3" s="1055" t="str">
        <f>'Control PL'!N2</f>
        <v>Quarter 1'08</v>
      </c>
      <c r="I3" s="1507" t="s">
        <v>927</v>
      </c>
      <c r="J3" s="63" t="s">
        <v>927</v>
      </c>
      <c r="K3" s="1681" t="s">
        <v>487</v>
      </c>
      <c r="L3" s="1691"/>
      <c r="M3" s="1690" t="s">
        <v>487</v>
      </c>
      <c r="N3" s="1691"/>
    </row>
    <row r="4" spans="1:14" ht="11.25">
      <c r="A4" s="67" t="s">
        <v>488</v>
      </c>
      <c r="B4" s="68"/>
      <c r="C4" s="67"/>
      <c r="D4" s="1067">
        <f>'Control PL'!D3</f>
        <v>39538</v>
      </c>
      <c r="E4" s="1692" t="s">
        <v>489</v>
      </c>
      <c r="F4" s="1500"/>
      <c r="G4" s="1501"/>
      <c r="H4" s="1067">
        <f>D4</f>
        <v>39538</v>
      </c>
      <c r="I4" s="1510">
        <f>'5000'!I3</f>
        <v>39172</v>
      </c>
      <c r="J4" s="1511">
        <f>'Control PL'!T3</f>
        <v>39447</v>
      </c>
      <c r="K4" s="1712">
        <v>39447</v>
      </c>
      <c r="L4" s="509"/>
      <c r="M4" s="1085">
        <v>39172</v>
      </c>
      <c r="N4" s="509"/>
    </row>
    <row r="5" spans="1:14" ht="11.25">
      <c r="A5" s="73" t="s">
        <v>491</v>
      </c>
      <c r="B5" s="74" t="s">
        <v>492</v>
      </c>
      <c r="C5" s="73" t="s">
        <v>493</v>
      </c>
      <c r="D5" s="1068" t="s">
        <v>869</v>
      </c>
      <c r="E5" s="75" t="s">
        <v>494</v>
      </c>
      <c r="F5" s="76" t="s">
        <v>495</v>
      </c>
      <c r="G5" s="77" t="s">
        <v>496</v>
      </c>
      <c r="H5" s="1068" t="s">
        <v>869</v>
      </c>
      <c r="I5" s="1512" t="s">
        <v>869</v>
      </c>
      <c r="J5" s="1512" t="s">
        <v>869</v>
      </c>
      <c r="K5" s="1685" t="s">
        <v>869</v>
      </c>
      <c r="L5" s="1711"/>
      <c r="M5" s="1685" t="s">
        <v>869</v>
      </c>
      <c r="N5" s="1680"/>
    </row>
    <row r="6" spans="1:14" ht="11.25">
      <c r="A6" s="81"/>
      <c r="B6" s="82"/>
      <c r="C6" s="82"/>
      <c r="D6" s="1060" t="s">
        <v>497</v>
      </c>
      <c r="E6" s="83" t="s">
        <v>498</v>
      </c>
      <c r="F6" s="77" t="s">
        <v>497</v>
      </c>
      <c r="G6" s="77" t="s">
        <v>497</v>
      </c>
      <c r="H6" s="1060" t="s">
        <v>497</v>
      </c>
      <c r="I6" s="76" t="s">
        <v>497</v>
      </c>
      <c r="J6" s="76" t="s">
        <v>497</v>
      </c>
      <c r="K6" s="77" t="s">
        <v>499</v>
      </c>
      <c r="L6" s="80" t="s">
        <v>500</v>
      </c>
      <c r="M6" s="77" t="s">
        <v>499</v>
      </c>
      <c r="N6" s="80" t="s">
        <v>500</v>
      </c>
    </row>
    <row r="7" spans="1:14" ht="11.25">
      <c r="A7" s="22"/>
      <c r="B7" s="86"/>
      <c r="C7" s="87"/>
      <c r="D7" s="418"/>
      <c r="E7" s="88"/>
      <c r="F7" s="89"/>
      <c r="G7" s="89"/>
      <c r="H7" s="12"/>
      <c r="I7" s="306"/>
      <c r="J7" s="87"/>
      <c r="K7" s="15"/>
      <c r="L7" s="434"/>
      <c r="M7" s="434"/>
      <c r="N7" s="434"/>
    </row>
    <row r="8" spans="1:14" ht="11.25">
      <c r="A8" s="22"/>
      <c r="B8" s="86"/>
      <c r="C8" s="91"/>
      <c r="D8" s="440"/>
      <c r="E8" s="442"/>
      <c r="F8" s="443"/>
      <c r="G8" s="443"/>
      <c r="H8" s="444"/>
      <c r="I8" s="443"/>
      <c r="J8" s="441"/>
      <c r="K8" s="429"/>
      <c r="L8" s="435"/>
      <c r="M8" s="435"/>
      <c r="N8" s="435"/>
    </row>
    <row r="9" spans="1:15" ht="11.25">
      <c r="A9" s="92">
        <v>410110</v>
      </c>
      <c r="B9" s="93" t="s">
        <v>672</v>
      </c>
      <c r="C9" s="93"/>
      <c r="D9" s="1075">
        <f>-VLOOKUP(A9,TB!$A:$E,5,FALSE)</f>
        <v>219036707.51</v>
      </c>
      <c r="E9" s="443"/>
      <c r="F9" s="443"/>
      <c r="G9" s="443"/>
      <c r="H9" s="447">
        <f>D9-F9+G9</f>
        <v>219036707.51</v>
      </c>
      <c r="I9" s="544">
        <v>156365711.72</v>
      </c>
      <c r="J9" s="444">
        <v>213299839.28</v>
      </c>
      <c r="K9" s="1467">
        <f>(H9-J9)/1000</f>
        <v>5736.868229999989</v>
      </c>
      <c r="L9" s="679">
        <f>K9/J9*1000</f>
        <v>0.02689579255832991</v>
      </c>
      <c r="M9" s="1467">
        <f>(D9-I9)/1000</f>
        <v>62670.99578999999</v>
      </c>
      <c r="N9" s="679">
        <f>M9/I9*1000</f>
        <v>0.4007975604154401</v>
      </c>
      <c r="O9" s="1"/>
    </row>
    <row r="10" spans="1:15" ht="11.25">
      <c r="A10" s="92">
        <v>410120</v>
      </c>
      <c r="B10" s="93" t="s">
        <v>673</v>
      </c>
      <c r="C10" s="93"/>
      <c r="D10" s="1075">
        <f>-VLOOKUP(A10,TB!$A:$E,5,FALSE)</f>
        <v>150907807.12</v>
      </c>
      <c r="E10" s="443"/>
      <c r="F10" s="443"/>
      <c r="G10" s="443"/>
      <c r="H10" s="447">
        <f>D10-F10+G10</f>
        <v>150907807.12</v>
      </c>
      <c r="I10" s="544">
        <v>144162145.01000002</v>
      </c>
      <c r="J10" s="444">
        <v>148620719.38000005</v>
      </c>
      <c r="K10" s="1467">
        <f>(H10-J10)/1000</f>
        <v>2287.08773999995</v>
      </c>
      <c r="L10" s="679">
        <f>K10/J10*1000</f>
        <v>0.015388754337490606</v>
      </c>
      <c r="M10" s="1467">
        <f>(D10-I10)/1000</f>
        <v>6745.662109999985</v>
      </c>
      <c r="N10" s="679">
        <f>M10/I10*1000</f>
        <v>0.04679218743264441</v>
      </c>
      <c r="O10" s="1"/>
    </row>
    <row r="11" spans="1:15" ht="11.25">
      <c r="A11" s="92">
        <v>410140</v>
      </c>
      <c r="B11" s="93" t="s">
        <v>831</v>
      </c>
      <c r="C11" s="93"/>
      <c r="D11" s="1075">
        <f>-VLOOKUP(A11,TB!$A:$E,5,FALSE)</f>
        <v>4114502.61</v>
      </c>
      <c r="E11" s="443"/>
      <c r="F11" s="443"/>
      <c r="G11" s="443"/>
      <c r="H11" s="447">
        <f>D11-F11+G11</f>
        <v>4114502.61</v>
      </c>
      <c r="I11" s="544">
        <v>4021814.25</v>
      </c>
      <c r="J11" s="444">
        <v>0</v>
      </c>
      <c r="K11" s="1467"/>
      <c r="L11" s="679"/>
      <c r="M11" s="1467"/>
      <c r="N11" s="679"/>
      <c r="O11" s="1"/>
    </row>
    <row r="12" spans="1:15" ht="11.25">
      <c r="A12" s="92">
        <v>410200</v>
      </c>
      <c r="B12" s="93" t="s">
        <v>674</v>
      </c>
      <c r="C12" s="93"/>
      <c r="D12" s="1075">
        <f>'[11]PL'!$M$11</f>
        <v>458032.9</v>
      </c>
      <c r="E12" s="443"/>
      <c r="F12" s="443"/>
      <c r="G12" s="443"/>
      <c r="H12" s="447">
        <f>D12-F12+G12</f>
        <v>458032.9</v>
      </c>
      <c r="I12" s="544">
        <v>0</v>
      </c>
      <c r="J12" s="444">
        <v>0</v>
      </c>
      <c r="K12" s="1467">
        <f>(H12-J12)/1000</f>
        <v>458.03290000000004</v>
      </c>
      <c r="L12" s="679"/>
      <c r="M12" s="1467">
        <f>(D12-I12)/1000</f>
        <v>458.03290000000004</v>
      </c>
      <c r="N12" s="679"/>
      <c r="O12" s="1"/>
    </row>
    <row r="13" spans="1:15" ht="11.25">
      <c r="A13" s="92">
        <v>422100</v>
      </c>
      <c r="B13" s="93" t="s">
        <v>760</v>
      </c>
      <c r="C13" s="93"/>
      <c r="D13" s="1075">
        <f>-TB!E589</f>
        <v>6534232.28</v>
      </c>
      <c r="E13" s="443"/>
      <c r="F13" s="443"/>
      <c r="G13" s="443"/>
      <c r="H13" s="447">
        <f>D13-F13+G13</f>
        <v>6534232.28</v>
      </c>
      <c r="I13" s="544">
        <v>5479836.88</v>
      </c>
      <c r="J13" s="444">
        <v>6480071.210000001</v>
      </c>
      <c r="K13" s="1467">
        <f>(H13-J13)/1000</f>
        <v>54.16106999999937</v>
      </c>
      <c r="L13" s="679">
        <f>K13/J13*1000</f>
        <v>0.008358097966025185</v>
      </c>
      <c r="M13" s="1467">
        <f>(D13-I13)/1000</f>
        <v>1054.3954000000003</v>
      </c>
      <c r="N13" s="679">
        <f>M13/I13*1000</f>
        <v>0.19241364717411083</v>
      </c>
      <c r="O13" s="1"/>
    </row>
    <row r="14" spans="1:15" ht="11.25">
      <c r="A14" s="92"/>
      <c r="B14" s="93"/>
      <c r="C14" s="93"/>
      <c r="D14" s="446"/>
      <c r="E14" s="443"/>
      <c r="F14" s="443"/>
      <c r="G14" s="443"/>
      <c r="H14" s="447"/>
      <c r="I14" s="443"/>
      <c r="J14" s="444"/>
      <c r="K14" s="1467"/>
      <c r="L14" s="679"/>
      <c r="M14" s="1467"/>
      <c r="N14" s="679"/>
      <c r="O14" s="1"/>
    </row>
    <row r="15" spans="1:15" ht="11.25">
      <c r="A15" s="92"/>
      <c r="B15" s="95" t="s">
        <v>675</v>
      </c>
      <c r="C15" s="95"/>
      <c r="D15" s="452">
        <f>SUM(D9:D14)</f>
        <v>381051282.41999996</v>
      </c>
      <c r="E15" s="453"/>
      <c r="F15" s="453">
        <f>SUM(F9:F14)</f>
        <v>0</v>
      </c>
      <c r="G15" s="453">
        <f>SUM(G9:G14)</f>
        <v>0</v>
      </c>
      <c r="H15" s="454">
        <f>SUM(H9:H13)</f>
        <v>381051282.41999996</v>
      </c>
      <c r="I15" s="1513">
        <v>310029507.86</v>
      </c>
      <c r="J15" s="1513">
        <f>SUM(J9:J14)</f>
        <v>368400629.87000006</v>
      </c>
      <c r="K15" s="1468">
        <f>(H15-J15)/1000</f>
        <v>12650.652549999893</v>
      </c>
      <c r="L15" s="745">
        <f>K15/J15*1000</f>
        <v>0.03433938903542052</v>
      </c>
      <c r="M15" s="1469">
        <f>(D15-I15)/1000</f>
        <v>71021.77455999995</v>
      </c>
      <c r="N15" s="745">
        <f>M15/I15*1000</f>
        <v>0.22908069315799204</v>
      </c>
      <c r="O15" s="1"/>
    </row>
    <row r="16" spans="1:15" ht="11.25">
      <c r="A16" s="92"/>
      <c r="B16" s="93"/>
      <c r="C16" s="93"/>
      <c r="D16" s="446"/>
      <c r="E16" s="443"/>
      <c r="F16" s="443"/>
      <c r="G16" s="443"/>
      <c r="H16" s="447"/>
      <c r="I16" s="443"/>
      <c r="J16" s="443"/>
      <c r="K16" s="1467"/>
      <c r="L16" s="679"/>
      <c r="M16" s="1467"/>
      <c r="N16" s="679"/>
      <c r="O16" s="1"/>
    </row>
    <row r="17" spans="1:15" ht="11.25">
      <c r="A17" s="92"/>
      <c r="B17" s="93"/>
      <c r="C17" s="93"/>
      <c r="D17" s="446"/>
      <c r="E17" s="443"/>
      <c r="F17" s="443"/>
      <c r="G17" s="443"/>
      <c r="H17" s="447"/>
      <c r="I17" s="443"/>
      <c r="J17" s="443"/>
      <c r="K17" s="1467"/>
      <c r="L17" s="679"/>
      <c r="M17" s="1467"/>
      <c r="N17" s="679"/>
      <c r="O17" s="1"/>
    </row>
    <row r="18" spans="1:15" ht="11.25">
      <c r="A18" s="92">
        <v>411110</v>
      </c>
      <c r="B18" s="93" t="s">
        <v>676</v>
      </c>
      <c r="C18" s="93"/>
      <c r="D18" s="1075">
        <f>VLOOKUP(A18,TB!$A:$E,5,FALSE)</f>
        <v>1923219.2</v>
      </c>
      <c r="E18" s="443"/>
      <c r="F18" s="443"/>
      <c r="G18" s="443"/>
      <c r="H18" s="447">
        <f>D18-F18+G18</f>
        <v>1923219.2</v>
      </c>
      <c r="I18" s="544">
        <v>1388926.61</v>
      </c>
      <c r="J18" s="444">
        <v>3433576.76</v>
      </c>
      <c r="K18" s="1467">
        <f>(H18-J18)/1000</f>
        <v>-1510.35756</v>
      </c>
      <c r="L18" s="679">
        <f>K18/J18*1000</f>
        <v>-0.43987878109939216</v>
      </c>
      <c r="M18" s="1467">
        <f>(D18-I18)/1000</f>
        <v>534.2925899999999</v>
      </c>
      <c r="N18" s="679">
        <f>M18/I18*1000</f>
        <v>0.3846802171930451</v>
      </c>
      <c r="O18" s="1"/>
    </row>
    <row r="19" spans="1:15" ht="11.25">
      <c r="A19" s="92">
        <v>411120</v>
      </c>
      <c r="B19" s="93" t="s">
        <v>677</v>
      </c>
      <c r="C19" s="93"/>
      <c r="D19" s="1075">
        <f>VLOOKUP(A19,TB!$A:$E,5,FALSE)</f>
        <v>0</v>
      </c>
      <c r="E19" s="444"/>
      <c r="F19" s="444"/>
      <c r="G19" s="444"/>
      <c r="H19" s="447">
        <f>D19-F19+G19</f>
        <v>0</v>
      </c>
      <c r="I19" s="544">
        <v>0</v>
      </c>
      <c r="J19" s="444">
        <v>0</v>
      </c>
      <c r="K19" s="1467">
        <f>(H19-J19)/1000</f>
        <v>0</v>
      </c>
      <c r="L19" s="679"/>
      <c r="M19" s="1467">
        <f>(D19-I19)/1000</f>
        <v>0</v>
      </c>
      <c r="N19" s="679"/>
      <c r="O19" s="1"/>
    </row>
    <row r="20" spans="1:15" ht="11.25">
      <c r="A20" s="92">
        <v>412110</v>
      </c>
      <c r="B20" s="93" t="s">
        <v>678</v>
      </c>
      <c r="C20" s="93"/>
      <c r="D20" s="1075">
        <f>VLOOKUP(A20,TB!$A:$E,5,FALSE)</f>
        <v>86462.58</v>
      </c>
      <c r="E20" s="443"/>
      <c r="F20" s="443"/>
      <c r="G20" s="443"/>
      <c r="H20" s="447">
        <f>D20-F20+G20</f>
        <v>86462.58</v>
      </c>
      <c r="I20" s="544">
        <v>981157.99</v>
      </c>
      <c r="J20" s="444">
        <v>20.03000000002794</v>
      </c>
      <c r="K20" s="1467">
        <f>(H20-J20)/1000</f>
        <v>86.44254999999997</v>
      </c>
      <c r="L20" s="679">
        <f>K20/J20*1000</f>
        <v>4315.654018965521</v>
      </c>
      <c r="M20" s="1467">
        <f>(D20-I20)/1000</f>
        <v>-894.69541</v>
      </c>
      <c r="N20" s="679">
        <f>M20/I20*1000</f>
        <v>-0.9118770056594047</v>
      </c>
      <c r="O20" s="1"/>
    </row>
    <row r="21" spans="1:15" ht="11.25">
      <c r="A21" s="92">
        <v>412120</v>
      </c>
      <c r="B21" s="93" t="s">
        <v>679</v>
      </c>
      <c r="C21" s="93"/>
      <c r="D21" s="1075">
        <f>VLOOKUP(A21,TB!$A:$E,5,FALSE)+TB!E574</f>
        <v>47732.420000000006</v>
      </c>
      <c r="E21" s="443"/>
      <c r="F21" s="443"/>
      <c r="G21" s="443"/>
      <c r="H21" s="447">
        <f>D21-F21+G21</f>
        <v>47732.420000000006</v>
      </c>
      <c r="I21" s="544">
        <v>25471.19</v>
      </c>
      <c r="J21" s="444">
        <v>37924</v>
      </c>
      <c r="K21" s="1467">
        <f>(H21-J21)/1000</f>
        <v>9.808420000000005</v>
      </c>
      <c r="L21" s="679">
        <f>K21/J21*1000</f>
        <v>0.2586335829553846</v>
      </c>
      <c r="M21" s="1467">
        <f>(D21-I21)/1000</f>
        <v>22.26123000000001</v>
      </c>
      <c r="N21" s="679">
        <f>M21/I21*1000</f>
        <v>0.8739768342193674</v>
      </c>
      <c r="O21" s="1"/>
    </row>
    <row r="22" spans="1:15" ht="11.25">
      <c r="A22" s="28"/>
      <c r="B22" s="86"/>
      <c r="C22" s="91"/>
      <c r="D22" s="456"/>
      <c r="E22" s="442"/>
      <c r="F22" s="443"/>
      <c r="G22" s="443"/>
      <c r="H22" s="444"/>
      <c r="I22" s="443"/>
      <c r="J22" s="441"/>
      <c r="K22" s="1467"/>
      <c r="L22" s="679"/>
      <c r="M22" s="1467"/>
      <c r="N22" s="679"/>
      <c r="O22" s="1"/>
    </row>
    <row r="23" spans="1:15" ht="11.25">
      <c r="A23" s="28"/>
      <c r="B23" s="96" t="s">
        <v>680</v>
      </c>
      <c r="C23" s="97"/>
      <c r="D23" s="452">
        <f>SUM(D18:D22)</f>
        <v>2057414.2</v>
      </c>
      <c r="E23" s="457"/>
      <c r="F23" s="453">
        <f>SUM(F18:F22)</f>
        <v>0</v>
      </c>
      <c r="G23" s="453">
        <f>SUM(G18:G22)</f>
        <v>0</v>
      </c>
      <c r="H23" s="453">
        <f>SUM(H18:H22)</f>
        <v>2057414.2</v>
      </c>
      <c r="I23" s="1513">
        <v>2395555.79</v>
      </c>
      <c r="J23" s="1513">
        <f>SUM(J18:J22)</f>
        <v>3471520.79</v>
      </c>
      <c r="K23" s="1468">
        <f>(H23-J23)/1000</f>
        <v>-1414.10659</v>
      </c>
      <c r="L23" s="745">
        <f>K23/J23*1000</f>
        <v>-0.4073449866909771</v>
      </c>
      <c r="M23" s="1469">
        <f>(D23-I23)/1000</f>
        <v>-338.14159000000006</v>
      </c>
      <c r="N23" s="745">
        <f>M23/I23*1000</f>
        <v>-0.14115371113940955</v>
      </c>
      <c r="O23" s="1"/>
    </row>
    <row r="24" spans="1:15" ht="11.25">
      <c r="A24" s="28"/>
      <c r="B24" s="86"/>
      <c r="C24" s="91"/>
      <c r="D24" s="456"/>
      <c r="E24" s="442"/>
      <c r="F24" s="443"/>
      <c r="G24" s="443"/>
      <c r="H24" s="444"/>
      <c r="I24" s="443"/>
      <c r="J24" s="441"/>
      <c r="K24" s="1467"/>
      <c r="L24" s="679"/>
      <c r="M24" s="1467"/>
      <c r="N24" s="679"/>
      <c r="O24" s="1"/>
    </row>
    <row r="25" spans="1:15" ht="11.25">
      <c r="A25" s="99"/>
      <c r="B25" s="100" t="s">
        <v>681</v>
      </c>
      <c r="C25" s="101"/>
      <c r="D25" s="458">
        <f>D15-D23</f>
        <v>378993868.21999997</v>
      </c>
      <c r="E25" s="430"/>
      <c r="F25" s="459">
        <f>F15-F23</f>
        <v>0</v>
      </c>
      <c r="G25" s="459">
        <f>G15-G23</f>
        <v>0</v>
      </c>
      <c r="H25" s="459">
        <f>H15-H23</f>
        <v>378993868.21999997</v>
      </c>
      <c r="I25" s="1514">
        <v>307633952.07</v>
      </c>
      <c r="J25" s="1514">
        <f>J15-J23</f>
        <v>364929109.08000004</v>
      </c>
      <c r="K25" s="1468">
        <f>(H25-J25)/1000</f>
        <v>14064.759139999926</v>
      </c>
      <c r="L25" s="745">
        <f>K25/J25*1000</f>
        <v>0.03854107219744051</v>
      </c>
      <c r="M25" s="1469">
        <f>(D25-I25)/1000</f>
        <v>71359.91614999998</v>
      </c>
      <c r="N25" s="745">
        <f>M25/I25*1000</f>
        <v>0.23196372074615002</v>
      </c>
      <c r="O25" s="1"/>
    </row>
    <row r="26" spans="1:15" s="120" customFormat="1" ht="11.25">
      <c r="A26" s="1029"/>
      <c r="B26" s="1030"/>
      <c r="C26" s="1031"/>
      <c r="D26" s="1032"/>
      <c r="E26" s="1034"/>
      <c r="F26" s="1033"/>
      <c r="G26" s="1033"/>
      <c r="H26" s="1033"/>
      <c r="I26" s="1515" t="s">
        <v>1140</v>
      </c>
      <c r="J26" s="231"/>
      <c r="K26" s="1470"/>
      <c r="L26" s="1471"/>
      <c r="M26" s="1470"/>
      <c r="N26" s="1471"/>
      <c r="O26" s="4"/>
    </row>
    <row r="27" spans="1:10" ht="11.25">
      <c r="A27" s="1" t="s">
        <v>1141</v>
      </c>
      <c r="B27" s="104"/>
      <c r="C27" s="104"/>
      <c r="D27" s="428"/>
      <c r="H27" s="55">
        <f>H23/H15</f>
        <v>0.005399310525695305</v>
      </c>
      <c r="I27" s="55">
        <f>I23/I15</f>
        <v>0.007726863828335207</v>
      </c>
      <c r="J27" s="55">
        <f>J23/J15</f>
        <v>0.009423221646567266</v>
      </c>
    </row>
    <row r="28" spans="1:5" ht="11.25">
      <c r="A28" s="1" t="s">
        <v>1207</v>
      </c>
      <c r="B28" s="104"/>
      <c r="C28" s="104"/>
      <c r="D28" s="930"/>
      <c r="E28" s="265"/>
    </row>
    <row r="29" spans="1:2" ht="11.25">
      <c r="A29" s="1473" t="s">
        <v>681</v>
      </c>
      <c r="B29" s="521">
        <f>I25</f>
        <v>307633952.07</v>
      </c>
    </row>
    <row r="30" spans="1:2" ht="11.25">
      <c r="A30" s="1473" t="str">
        <f>B13</f>
        <v>Toll manufacture</v>
      </c>
      <c r="B30" s="521">
        <f>-I13</f>
        <v>-5479836.88</v>
      </c>
    </row>
    <row r="31" spans="1:2" ht="11.25">
      <c r="A31" s="1473" t="s">
        <v>1208</v>
      </c>
      <c r="B31" s="1474">
        <f>SUM(B29:B30)</f>
        <v>302154115.19</v>
      </c>
    </row>
  </sheetData>
  <mergeCells count="8">
    <mergeCell ref="M5:N5"/>
    <mergeCell ref="E4:G4"/>
    <mergeCell ref="M3:N3"/>
    <mergeCell ref="M4:N4"/>
    <mergeCell ref="E3:G3"/>
    <mergeCell ref="K5:L5"/>
    <mergeCell ref="K3:L3"/>
    <mergeCell ref="K4:L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Z187"/>
  <sheetViews>
    <sheetView workbookViewId="0" topLeftCell="A1">
      <pane xSplit="2" ySplit="5" topLeftCell="C6" activePane="bottomRight" state="frozen"/>
      <selection pane="topLeft" activeCell="G30" sqref="G30"/>
      <selection pane="topRight" activeCell="G30" sqref="G30"/>
      <selection pane="bottomLeft" activeCell="G30" sqref="G30"/>
      <selection pane="bottomRight" activeCell="G30" sqref="G30"/>
    </sheetView>
  </sheetViews>
  <sheetFormatPr defaultColWidth="9.140625" defaultRowHeight="21.75"/>
  <cols>
    <col min="1" max="1" width="9.421875" style="51" customWidth="1"/>
    <col min="2" max="2" width="26.421875" style="51" bestFit="1" customWidth="1"/>
    <col min="3" max="3" width="7.421875" style="5" customWidth="1"/>
    <col min="4" max="4" width="12.00390625" style="604" customWidth="1"/>
    <col min="5" max="5" width="11.28125" style="604" hidden="1" customWidth="1"/>
    <col min="6" max="6" width="16.140625" style="604" hidden="1" customWidth="1"/>
    <col min="7" max="8" width="11.28125" style="50" hidden="1" customWidth="1"/>
    <col min="9" max="10" width="12.8515625" style="50" hidden="1" customWidth="1"/>
    <col min="11" max="11" width="8.57421875" style="54" customWidth="1"/>
    <col min="12" max="12" width="11.7109375" style="54" customWidth="1"/>
    <col min="13" max="13" width="11.28125" style="54" customWidth="1"/>
    <col min="14" max="14" width="12.57421875" style="54" bestFit="1" customWidth="1"/>
    <col min="15" max="15" width="11.28125" style="54" hidden="1" customWidth="1"/>
    <col min="16" max="16" width="10.7109375" style="59" customWidth="1"/>
    <col min="17" max="18" width="10.7109375" style="59" hidden="1" customWidth="1"/>
    <col min="19" max="19" width="12.00390625" style="59" hidden="1" customWidth="1"/>
    <col min="20" max="20" width="11.140625" style="59" bestFit="1" customWidth="1"/>
    <col min="21" max="21" width="9.28125" style="54" customWidth="1"/>
    <col min="22" max="22" width="8.140625" style="62" customWidth="1"/>
    <col min="23" max="23" width="8.28125" style="416" bestFit="1" customWidth="1"/>
    <col min="24" max="24" width="7.140625" style="416" customWidth="1"/>
    <col min="25" max="25" width="9.140625" style="51" customWidth="1"/>
    <col min="26" max="26" width="10.7109375" style="51" bestFit="1" customWidth="1"/>
    <col min="27" max="16384" width="9.140625" style="51" customWidth="1"/>
  </cols>
  <sheetData>
    <row r="1" spans="1:10" ht="11.25">
      <c r="A1" s="60" t="s">
        <v>485</v>
      </c>
      <c r="B1" s="60"/>
      <c r="C1" s="7"/>
      <c r="G1" s="59"/>
      <c r="H1" s="59"/>
      <c r="I1" s="59"/>
      <c r="J1" s="59"/>
    </row>
    <row r="2" spans="1:24" ht="18" customHeight="1">
      <c r="A2" s="63"/>
      <c r="B2" s="63"/>
      <c r="C2" s="56"/>
      <c r="D2" s="1097" t="str">
        <f>'5000'!D2</f>
        <v>Quarter 1'08</v>
      </c>
      <c r="E2" s="1713" t="s">
        <v>956</v>
      </c>
      <c r="F2" s="1714"/>
      <c r="G2" s="1715" t="s">
        <v>957</v>
      </c>
      <c r="H2" s="1716"/>
      <c r="I2" s="1715" t="s">
        <v>958</v>
      </c>
      <c r="J2" s="1716"/>
      <c r="K2" s="1690" t="s">
        <v>486</v>
      </c>
      <c r="L2" s="477"/>
      <c r="M2" s="285"/>
      <c r="N2" s="1055" t="str">
        <f>'5000'!H2</f>
        <v>Quarter 1'08</v>
      </c>
      <c r="O2" s="1035"/>
      <c r="P2" s="1037" t="s">
        <v>927</v>
      </c>
      <c r="Q2" s="65" t="s">
        <v>927</v>
      </c>
      <c r="R2" s="65" t="s">
        <v>927</v>
      </c>
      <c r="S2" s="1036" t="s">
        <v>252</v>
      </c>
      <c r="T2" s="1037" t="s">
        <v>927</v>
      </c>
      <c r="U2" s="1681" t="s">
        <v>487</v>
      </c>
      <c r="V2" s="1691"/>
      <c r="W2" s="1719" t="s">
        <v>487</v>
      </c>
      <c r="X2" s="1720"/>
    </row>
    <row r="3" spans="1:24" ht="18.75" customHeight="1">
      <c r="A3" s="67" t="s">
        <v>488</v>
      </c>
      <c r="B3" s="67"/>
      <c r="C3" s="57"/>
      <c r="D3" s="1067">
        <f>'5000'!D3</f>
        <v>39538</v>
      </c>
      <c r="E3" s="425">
        <v>38898</v>
      </c>
      <c r="F3" s="605">
        <v>38898</v>
      </c>
      <c r="G3" s="69">
        <v>38990</v>
      </c>
      <c r="H3" s="70">
        <v>38990</v>
      </c>
      <c r="I3" s="69">
        <v>39082</v>
      </c>
      <c r="J3" s="70">
        <v>39082</v>
      </c>
      <c r="K3" s="1692" t="s">
        <v>489</v>
      </c>
      <c r="L3" s="1500"/>
      <c r="M3" s="1501"/>
      <c r="N3" s="1067">
        <f>'5000'!H3</f>
        <v>39538</v>
      </c>
      <c r="O3" s="70">
        <v>39082</v>
      </c>
      <c r="P3" s="1038">
        <f>'5000'!I3</f>
        <v>39172</v>
      </c>
      <c r="Q3" s="71">
        <v>38533</v>
      </c>
      <c r="R3" s="71">
        <v>38625</v>
      </c>
      <c r="S3" s="1472">
        <v>38717</v>
      </c>
      <c r="T3" s="1038">
        <f>'5000'!J3</f>
        <v>39447</v>
      </c>
      <c r="U3" s="1682" t="s">
        <v>819</v>
      </c>
      <c r="V3" s="1695"/>
      <c r="W3" s="1721" t="s">
        <v>739</v>
      </c>
      <c r="X3" s="1722"/>
    </row>
    <row r="4" spans="1:24" ht="15.75" customHeight="1">
      <c r="A4" s="73" t="s">
        <v>491</v>
      </c>
      <c r="B4" s="73" t="s">
        <v>492</v>
      </c>
      <c r="C4" s="58" t="s">
        <v>493</v>
      </c>
      <c r="D4" s="1068" t="s">
        <v>869</v>
      </c>
      <c r="E4" s="425" t="s">
        <v>932</v>
      </c>
      <c r="F4" s="425" t="s">
        <v>869</v>
      </c>
      <c r="G4" s="69" t="s">
        <v>933</v>
      </c>
      <c r="H4" s="69" t="s">
        <v>869</v>
      </c>
      <c r="I4" s="69" t="s">
        <v>885</v>
      </c>
      <c r="J4" s="69" t="s">
        <v>869</v>
      </c>
      <c r="K4" s="75" t="s">
        <v>494</v>
      </c>
      <c r="L4" s="76" t="s">
        <v>495</v>
      </c>
      <c r="M4" s="77" t="s">
        <v>496</v>
      </c>
      <c r="N4" s="1068" t="s">
        <v>869</v>
      </c>
      <c r="O4" s="69" t="s">
        <v>869</v>
      </c>
      <c r="P4" s="480" t="s">
        <v>869</v>
      </c>
      <c r="Q4" s="480" t="s">
        <v>932</v>
      </c>
      <c r="R4" s="79" t="s">
        <v>933</v>
      </c>
      <c r="S4" s="480" t="s">
        <v>885</v>
      </c>
      <c r="T4" s="1038" t="s">
        <v>869</v>
      </c>
      <c r="U4" s="1685" t="s">
        <v>869</v>
      </c>
      <c r="V4" s="1711"/>
      <c r="W4" s="1717" t="s">
        <v>869</v>
      </c>
      <c r="X4" s="1718"/>
    </row>
    <row r="5" spans="1:24" ht="11.25">
      <c r="A5" s="81"/>
      <c r="B5" s="105"/>
      <c r="C5" s="135"/>
      <c r="D5" s="1060" t="s">
        <v>497</v>
      </c>
      <c r="E5" s="417" t="s">
        <v>497</v>
      </c>
      <c r="F5" s="417" t="s">
        <v>497</v>
      </c>
      <c r="G5" s="76" t="s">
        <v>497</v>
      </c>
      <c r="H5" s="76" t="s">
        <v>497</v>
      </c>
      <c r="I5" s="76" t="s">
        <v>497</v>
      </c>
      <c r="J5" s="76" t="s">
        <v>497</v>
      </c>
      <c r="K5" s="83" t="s">
        <v>498</v>
      </c>
      <c r="L5" s="77" t="s">
        <v>497</v>
      </c>
      <c r="M5" s="77" t="s">
        <v>497</v>
      </c>
      <c r="N5" s="1060" t="s">
        <v>497</v>
      </c>
      <c r="O5" s="76" t="s">
        <v>497</v>
      </c>
      <c r="P5" s="84" t="s">
        <v>497</v>
      </c>
      <c r="Q5" s="84" t="s">
        <v>497</v>
      </c>
      <c r="R5" s="84" t="s">
        <v>497</v>
      </c>
      <c r="S5" s="84" t="s">
        <v>497</v>
      </c>
      <c r="T5" s="84" t="s">
        <v>497</v>
      </c>
      <c r="U5" s="77" t="s">
        <v>499</v>
      </c>
      <c r="V5" s="80" t="s">
        <v>500</v>
      </c>
      <c r="W5" s="523" t="s">
        <v>499</v>
      </c>
      <c r="X5" s="524" t="s">
        <v>500</v>
      </c>
    </row>
    <row r="6" spans="1:24" ht="11.25">
      <c r="A6" s="106"/>
      <c r="B6" s="106"/>
      <c r="C6" s="11"/>
      <c r="D6" s="479"/>
      <c r="E6" s="479"/>
      <c r="F6" s="479"/>
      <c r="G6" s="108"/>
      <c r="H6" s="108"/>
      <c r="I6" s="108"/>
      <c r="J6" s="108"/>
      <c r="K6" s="88"/>
      <c r="L6" s="12"/>
      <c r="M6" s="12"/>
      <c r="N6" s="12"/>
      <c r="O6" s="12"/>
      <c r="P6" s="619"/>
      <c r="Q6" s="619"/>
      <c r="R6" s="619"/>
      <c r="S6" s="619"/>
      <c r="T6" s="619"/>
      <c r="U6" s="429"/>
      <c r="V6" s="16"/>
      <c r="W6" s="610"/>
      <c r="X6" s="611"/>
    </row>
    <row r="7" spans="1:24" ht="11.25">
      <c r="A7" s="109"/>
      <c r="B7" s="110" t="s">
        <v>854</v>
      </c>
      <c r="C7" s="181"/>
      <c r="D7" s="427"/>
      <c r="E7" s="427"/>
      <c r="F7" s="427"/>
      <c r="G7" s="111"/>
      <c r="H7" s="111"/>
      <c r="I7" s="111"/>
      <c r="J7" s="111"/>
      <c r="K7" s="88"/>
      <c r="L7" s="12"/>
      <c r="M7" s="12"/>
      <c r="N7" s="12"/>
      <c r="O7" s="12"/>
      <c r="P7" s="124"/>
      <c r="Q7" s="124"/>
      <c r="R7" s="124"/>
      <c r="S7" s="124"/>
      <c r="T7" s="124"/>
      <c r="U7" s="429"/>
      <c r="V7" s="112"/>
      <c r="W7" s="610"/>
      <c r="X7" s="612"/>
    </row>
    <row r="8" spans="1:24" ht="11.25">
      <c r="A8" s="109"/>
      <c r="B8" s="109"/>
      <c r="C8" s="1083"/>
      <c r="D8" s="427"/>
      <c r="E8" s="427"/>
      <c r="F8" s="427"/>
      <c r="G8" s="111"/>
      <c r="H8" s="111"/>
      <c r="I8" s="119"/>
      <c r="J8" s="111"/>
      <c r="K8" s="88"/>
      <c r="L8" s="12"/>
      <c r="M8" s="12"/>
      <c r="N8" s="12"/>
      <c r="O8" s="12"/>
      <c r="P8" s="124"/>
      <c r="Q8" s="124"/>
      <c r="R8" s="124"/>
      <c r="S8" s="124"/>
      <c r="T8" s="124"/>
      <c r="U8" s="429"/>
      <c r="V8" s="112"/>
      <c r="W8" s="610"/>
      <c r="X8" s="612"/>
    </row>
    <row r="9" spans="1:26" ht="11.25">
      <c r="A9" s="109"/>
      <c r="B9" s="113" t="s">
        <v>855</v>
      </c>
      <c r="C9" s="697" t="s">
        <v>856</v>
      </c>
      <c r="D9" s="1638">
        <f>'6000'!D25-D10</f>
        <v>372459635.94</v>
      </c>
      <c r="E9" s="566" t="e">
        <f>'6000'!#REF!-E10</f>
        <v>#REF!</v>
      </c>
      <c r="F9" s="566" t="e">
        <f>E9-D9</f>
        <v>#REF!</v>
      </c>
      <c r="G9" s="462" t="e">
        <f>'6000'!#REF!-G10</f>
        <v>#REF!</v>
      </c>
      <c r="H9" s="462" t="e">
        <f>'6000'!#REF!-H10</f>
        <v>#REF!</v>
      </c>
      <c r="I9" s="462" t="e">
        <f>'6000'!#REF!-I10</f>
        <v>#REF!</v>
      </c>
      <c r="J9" s="462" t="e">
        <f>'6000'!#REF!-J87</f>
        <v>#REF!</v>
      </c>
      <c r="K9" s="443"/>
      <c r="L9" s="444">
        <f>'6000'!F25</f>
        <v>0</v>
      </c>
      <c r="M9" s="444">
        <f>'6000'!G25</f>
        <v>0</v>
      </c>
      <c r="N9" s="447">
        <f>D9-L9+M9</f>
        <v>372459635.94</v>
      </c>
      <c r="O9" s="444"/>
      <c r="P9" s="620">
        <v>302154115.19</v>
      </c>
      <c r="Q9" s="620">
        <v>570456129.8000002</v>
      </c>
      <c r="R9" s="620">
        <v>857150256.3599999</v>
      </c>
      <c r="S9" s="620">
        <v>1155277969.07</v>
      </c>
      <c r="T9" s="620">
        <v>358449037.87000006</v>
      </c>
      <c r="U9" s="429">
        <f>(N9-T9)/1000</f>
        <v>14010.598069999933</v>
      </c>
      <c r="V9" s="435">
        <f>U9/T9*1000</f>
        <v>0.03908672248991</v>
      </c>
      <c r="W9" s="610">
        <f>(D9-P9)/1000</f>
        <v>70305.52075</v>
      </c>
      <c r="X9" s="613">
        <f>W9/P9*1000</f>
        <v>0.23268099693360328</v>
      </c>
      <c r="Z9" s="521">
        <f>ROUND(N9,0)</f>
        <v>372459636</v>
      </c>
    </row>
    <row r="10" spans="1:26" ht="11.25">
      <c r="A10" s="109"/>
      <c r="B10" s="330" t="s">
        <v>1018</v>
      </c>
      <c r="C10" s="697"/>
      <c r="D10" s="1638">
        <f>'6000'!D13</f>
        <v>6534232.28</v>
      </c>
      <c r="E10" s="566" t="e">
        <f>'6000'!#REF!</f>
        <v>#REF!</v>
      </c>
      <c r="F10" s="566" t="e">
        <f>E10-D10</f>
        <v>#REF!</v>
      </c>
      <c r="G10" s="462" t="e">
        <f>'6000'!#REF!</f>
        <v>#REF!</v>
      </c>
      <c r="H10" s="462" t="e">
        <f>'6000'!#REF!</f>
        <v>#REF!</v>
      </c>
      <c r="I10" s="462" t="e">
        <f>'6000'!#REF!</f>
        <v>#REF!</v>
      </c>
      <c r="J10" s="462" t="e">
        <f>'6000'!#REF!</f>
        <v>#REF!</v>
      </c>
      <c r="K10" s="443"/>
      <c r="L10" s="444"/>
      <c r="M10" s="444"/>
      <c r="N10" s="447">
        <f>D10-L10+M10</f>
        <v>6534232.28</v>
      </c>
      <c r="O10" s="444"/>
      <c r="P10" s="620">
        <v>5479836.88</v>
      </c>
      <c r="Q10" s="620">
        <v>20299931.32</v>
      </c>
      <c r="R10" s="620">
        <v>27723975.34</v>
      </c>
      <c r="S10" s="620">
        <v>36677547.04</v>
      </c>
      <c r="T10" s="620">
        <v>6480071.210000001</v>
      </c>
      <c r="U10" s="429">
        <f>(N10-T10)/1000</f>
        <v>54.16106999999937</v>
      </c>
      <c r="V10" s="435">
        <f>U10/T10*1000</f>
        <v>0.008358097966025185</v>
      </c>
      <c r="W10" s="610">
        <f>(D10-P10)/1000</f>
        <v>1054.3954000000003</v>
      </c>
      <c r="X10" s="613">
        <f>W10/P10*1000</f>
        <v>0.19241364717411083</v>
      </c>
      <c r="Z10" s="521">
        <f>ROUND(N10,0)</f>
        <v>6534232</v>
      </c>
    </row>
    <row r="11" spans="1:26" s="120" customFormat="1" ht="11.25">
      <c r="A11" s="33"/>
      <c r="B11" s="118" t="s">
        <v>857</v>
      </c>
      <c r="C11" s="1084" t="s">
        <v>871</v>
      </c>
      <c r="D11" s="566">
        <f>'6200'!D18-D12</f>
        <v>1025241.290000001</v>
      </c>
      <c r="E11" s="573">
        <f>'6200'!E18-E12</f>
        <v>0</v>
      </c>
      <c r="F11" s="566">
        <f>E11-D11</f>
        <v>-1025241.290000001</v>
      </c>
      <c r="G11" s="462">
        <f>'6200'!G18-G12</f>
        <v>0</v>
      </c>
      <c r="H11" s="462">
        <f>'6200'!H18-H12</f>
        <v>0</v>
      </c>
      <c r="I11" s="465">
        <f>'6200'!I18-I12</f>
        <v>0</v>
      </c>
      <c r="J11" s="465">
        <f>'6200'!J18-J12</f>
        <v>0</v>
      </c>
      <c r="K11" s="466"/>
      <c r="L11" s="467">
        <f>'6200'!L18</f>
        <v>0</v>
      </c>
      <c r="M11" s="467">
        <f>'6200'!M18</f>
        <v>0</v>
      </c>
      <c r="N11" s="447">
        <f>D11-L11+M11</f>
        <v>1025241.290000001</v>
      </c>
      <c r="O11" s="444"/>
      <c r="P11" s="476">
        <v>652890.1100000013</v>
      </c>
      <c r="Q11" s="476">
        <v>9994511.619999997</v>
      </c>
      <c r="R11" s="476">
        <v>10082159.760000005</v>
      </c>
      <c r="S11" s="476">
        <v>11235413.27</v>
      </c>
      <c r="T11" s="476">
        <v>810477.64</v>
      </c>
      <c r="U11" s="429">
        <f>(N11-T11)/1000</f>
        <v>214.76365000000095</v>
      </c>
      <c r="V11" s="435">
        <f>U11/T11*1000</f>
        <v>0.2649840531072528</v>
      </c>
      <c r="W11" s="610">
        <f>(D11-P11)/1000</f>
        <v>372.3511799999997</v>
      </c>
      <c r="X11" s="613">
        <f>W11/P11*1000</f>
        <v>0.570312177036958</v>
      </c>
      <c r="Z11" s="521">
        <f>ROUND(N11,0)</f>
        <v>1025241</v>
      </c>
    </row>
    <row r="12" spans="1:26" ht="11.25">
      <c r="A12" s="109"/>
      <c r="B12" s="113" t="s">
        <v>1100</v>
      </c>
      <c r="C12" s="1083"/>
      <c r="D12" s="566">
        <f>'6200'!D8</f>
        <v>10172839.91</v>
      </c>
      <c r="E12" s="456">
        <f>'6200'!E8</f>
        <v>0</v>
      </c>
      <c r="F12" s="456">
        <f>'6200'!F8</f>
        <v>0</v>
      </c>
      <c r="G12" s="456">
        <f>'6200'!G8</f>
        <v>0</v>
      </c>
      <c r="H12" s="456">
        <f>'6200'!H8</f>
        <v>0</v>
      </c>
      <c r="I12" s="573">
        <f>'6200'!I8</f>
        <v>0</v>
      </c>
      <c r="J12" s="456">
        <f>'6200'!J8</f>
        <v>0</v>
      </c>
      <c r="K12" s="442"/>
      <c r="L12" s="444"/>
      <c r="M12" s="444"/>
      <c r="N12" s="447">
        <f>D12-L12+M12</f>
        <v>10172839.91</v>
      </c>
      <c r="O12" s="444"/>
      <c r="P12" s="475">
        <v>8699303.33</v>
      </c>
      <c r="Q12" s="475">
        <v>20389656.93</v>
      </c>
      <c r="R12" s="475">
        <v>34027037.18</v>
      </c>
      <c r="S12" s="475">
        <v>47784763.86</v>
      </c>
      <c r="T12" s="475">
        <v>9788486.71</v>
      </c>
      <c r="U12" s="429">
        <f>(N12-T12)/1000</f>
        <v>384.3531999999993</v>
      </c>
      <c r="V12" s="435">
        <f>U12/T12*1000</f>
        <v>0.03926584480186716</v>
      </c>
      <c r="W12" s="610">
        <f>(D12-P12)/1000</f>
        <v>1473.5365800000002</v>
      </c>
      <c r="X12" s="613">
        <f>W12/P12*1000</f>
        <v>0.16938558458105865</v>
      </c>
      <c r="Z12" s="521">
        <f>ROUND(N12,0)</f>
        <v>10172840</v>
      </c>
    </row>
    <row r="13" spans="1:26" ht="11.25">
      <c r="A13" s="100"/>
      <c r="B13" s="121" t="s">
        <v>858</v>
      </c>
      <c r="C13" s="1086"/>
      <c r="D13" s="606">
        <f>SUM(D9:D12)</f>
        <v>390191949.42</v>
      </c>
      <c r="E13" s="606" t="e">
        <f aca="true" t="shared" si="0" ref="E13:J13">SUM(E9:E12)</f>
        <v>#REF!</v>
      </c>
      <c r="F13" s="606" t="e">
        <f t="shared" si="0"/>
        <v>#REF!</v>
      </c>
      <c r="G13" s="469" t="e">
        <f t="shared" si="0"/>
        <v>#REF!</v>
      </c>
      <c r="H13" s="469" t="e">
        <f t="shared" si="0"/>
        <v>#REF!</v>
      </c>
      <c r="I13" s="469" t="e">
        <f t="shared" si="0"/>
        <v>#REF!</v>
      </c>
      <c r="J13" s="469" t="e">
        <f t="shared" si="0"/>
        <v>#REF!</v>
      </c>
      <c r="K13" s="470"/>
      <c r="L13" s="459">
        <f>SUM(L9:L12)</f>
        <v>0</v>
      </c>
      <c r="M13" s="459">
        <f>SUM(M9:M12)</f>
        <v>0</v>
      </c>
      <c r="N13" s="459">
        <f>SUM(N9:N12)</f>
        <v>390191949.42</v>
      </c>
      <c r="O13" s="459">
        <f>SUM(O9:O11)</f>
        <v>0</v>
      </c>
      <c r="P13" s="621">
        <v>316986145.51</v>
      </c>
      <c r="Q13" s="621">
        <f>SUM(Q9:Q12)</f>
        <v>621140229.6700002</v>
      </c>
      <c r="R13" s="621">
        <f>SUM(R9:R12)</f>
        <v>928983428.6399999</v>
      </c>
      <c r="S13" s="621">
        <f>SUM(S9:S12)</f>
        <v>1250975693.2399998</v>
      </c>
      <c r="T13" s="621">
        <f>SUM(T9:T12)</f>
        <v>375528073.43</v>
      </c>
      <c r="U13" s="430">
        <f>(N13-T13)/1000</f>
        <v>14663.87599000001</v>
      </c>
      <c r="V13" s="436">
        <f>U13/T13*1000</f>
        <v>0.03904868111740098</v>
      </c>
      <c r="W13" s="618">
        <f>(D13-P13)/1000</f>
        <v>73205.80391000003</v>
      </c>
      <c r="X13" s="978">
        <f>W13/P13*1000</f>
        <v>0.23094322874023085</v>
      </c>
      <c r="Z13" s="521">
        <f>SUM(Z9:Z12)</f>
        <v>390191949</v>
      </c>
    </row>
    <row r="14" spans="1:24" ht="11.25">
      <c r="A14" s="109"/>
      <c r="B14" s="113"/>
      <c r="C14" s="1083"/>
      <c r="D14" s="456"/>
      <c r="E14" s="456"/>
      <c r="F14" s="456"/>
      <c r="G14" s="468"/>
      <c r="H14" s="468"/>
      <c r="I14" s="468"/>
      <c r="J14" s="468"/>
      <c r="K14" s="442"/>
      <c r="L14" s="444"/>
      <c r="M14" s="444"/>
      <c r="N14" s="444"/>
      <c r="O14" s="444"/>
      <c r="P14" s="456"/>
      <c r="Q14" s="456"/>
      <c r="R14" s="456"/>
      <c r="S14" s="456"/>
      <c r="T14" s="456"/>
      <c r="U14" s="429"/>
      <c r="V14" s="434"/>
      <c r="W14" s="610"/>
      <c r="X14" s="614"/>
    </row>
    <row r="15" spans="1:24" ht="11.25">
      <c r="A15" s="109"/>
      <c r="B15" s="123" t="s">
        <v>859</v>
      </c>
      <c r="C15" s="1083"/>
      <c r="D15" s="1517"/>
      <c r="E15" s="456"/>
      <c r="F15" s="456"/>
      <c r="G15" s="468"/>
      <c r="H15" s="468"/>
      <c r="I15" s="465"/>
      <c r="J15" s="468"/>
      <c r="K15" s="442"/>
      <c r="L15" s="444"/>
      <c r="M15" s="444"/>
      <c r="N15" s="444"/>
      <c r="O15" s="444"/>
      <c r="P15" s="1518"/>
      <c r="Q15" s="468"/>
      <c r="R15" s="468"/>
      <c r="S15" s="468"/>
      <c r="T15" s="1518"/>
      <c r="U15" s="429"/>
      <c r="V15" s="434"/>
      <c r="W15" s="610"/>
      <c r="X15" s="614"/>
    </row>
    <row r="16" spans="1:24" ht="11.25">
      <c r="A16" s="109"/>
      <c r="B16" s="113"/>
      <c r="C16" s="1083"/>
      <c r="D16" s="1516"/>
      <c r="E16" s="456"/>
      <c r="F16" s="456"/>
      <c r="G16" s="468"/>
      <c r="H16" s="468"/>
      <c r="I16" s="465"/>
      <c r="J16" s="468"/>
      <c r="K16" s="442"/>
      <c r="L16" s="444"/>
      <c r="M16" s="444"/>
      <c r="N16" s="444"/>
      <c r="O16" s="444"/>
      <c r="P16" s="1516"/>
      <c r="Q16" s="1516"/>
      <c r="R16" s="1516"/>
      <c r="S16" s="1516"/>
      <c r="T16" s="1516"/>
      <c r="U16" s="429"/>
      <c r="V16" s="434"/>
      <c r="W16" s="610"/>
      <c r="X16" s="614"/>
    </row>
    <row r="17" spans="1:26" ht="11.25">
      <c r="A17" s="109"/>
      <c r="B17" s="113" t="s">
        <v>860</v>
      </c>
      <c r="C17" s="697" t="s">
        <v>861</v>
      </c>
      <c r="D17" s="566">
        <f>'6100'!E50</f>
        <v>330376475.7899999</v>
      </c>
      <c r="E17" s="573">
        <f>'6100'!F50</f>
        <v>0</v>
      </c>
      <c r="F17" s="573">
        <f>E17-D17</f>
        <v>-330376475.7899999</v>
      </c>
      <c r="G17" s="465">
        <f>'6100'!H50</f>
        <v>0</v>
      </c>
      <c r="H17" s="465">
        <f>'6100'!I50</f>
        <v>0</v>
      </c>
      <c r="I17" s="465">
        <f>'6100'!J50</f>
        <v>424259.13</v>
      </c>
      <c r="J17" s="465">
        <f>'6100'!K50</f>
        <v>424259.13</v>
      </c>
      <c r="K17" s="471"/>
      <c r="L17" s="463">
        <f>'6100'!M50</f>
        <v>0</v>
      </c>
      <c r="M17" s="463">
        <f>'6100'!N50</f>
        <v>0</v>
      </c>
      <c r="N17" s="447">
        <f>D17-L17+M17</f>
        <v>330376475.7899999</v>
      </c>
      <c r="O17" s="463"/>
      <c r="P17" s="475">
        <v>268560088.12000006</v>
      </c>
      <c r="Q17" s="475">
        <v>511669078.1700001</v>
      </c>
      <c r="R17" s="475">
        <v>767458507.41</v>
      </c>
      <c r="S17" s="475">
        <v>1018728601.4300001</v>
      </c>
      <c r="T17" s="476">
        <v>330808517.26</v>
      </c>
      <c r="U17" s="429">
        <f>(N17-T17)/1000</f>
        <v>-432.0414700000882</v>
      </c>
      <c r="V17" s="435">
        <f>U17/T17*1000</f>
        <v>-0.001306016766371598</v>
      </c>
      <c r="W17" s="610">
        <f>(D17-P17)/1000</f>
        <v>61816.387669999836</v>
      </c>
      <c r="X17" s="613">
        <f>W17/P17*1000</f>
        <v>0.23017712014742325</v>
      </c>
      <c r="Z17" s="521">
        <f>ROUND(N17,0)</f>
        <v>330376476</v>
      </c>
    </row>
    <row r="18" spans="1:26" ht="11.25">
      <c r="A18" s="109"/>
      <c r="B18" s="113" t="s">
        <v>862</v>
      </c>
      <c r="C18" s="697" t="s">
        <v>870</v>
      </c>
      <c r="D18" s="566">
        <f>'6300'!D101</f>
        <v>41132675.276539996</v>
      </c>
      <c r="E18" s="573">
        <f>'6300'!E101</f>
        <v>0</v>
      </c>
      <c r="F18" s="573">
        <f>E18-D18</f>
        <v>-41132675.276539996</v>
      </c>
      <c r="G18" s="465">
        <f>'6300'!G101</f>
        <v>0</v>
      </c>
      <c r="H18" s="465">
        <f>'6300'!H101</f>
        <v>0</v>
      </c>
      <c r="I18" s="465" t="e">
        <f>'6300'!I101</f>
        <v>#REF!</v>
      </c>
      <c r="J18" s="465" t="e">
        <f>'6300'!J101</f>
        <v>#REF!</v>
      </c>
      <c r="K18" s="465"/>
      <c r="L18" s="465">
        <f>'6300'!L101</f>
        <v>0</v>
      </c>
      <c r="M18" s="465">
        <f>'6300'!M101</f>
        <v>0</v>
      </c>
      <c r="N18" s="447">
        <f>D18+L18-M18</f>
        <v>41132675.276539996</v>
      </c>
      <c r="O18" s="463"/>
      <c r="P18" s="475">
        <v>31667424.29</v>
      </c>
      <c r="Q18" s="475">
        <v>67103022.26000001</v>
      </c>
      <c r="R18" s="475">
        <v>104770073.45000002</v>
      </c>
      <c r="S18" s="475">
        <v>129821529.75999999</v>
      </c>
      <c r="T18" s="475">
        <v>35922494.20999999</v>
      </c>
      <c r="U18" s="429">
        <f>(N18-T18)/1000</f>
        <v>5210.181066540003</v>
      </c>
      <c r="V18" s="435">
        <f>U18/T18*1000</f>
        <v>0.14503951301604243</v>
      </c>
      <c r="W18" s="610">
        <f>(D18-P18)/1000</f>
        <v>9465.250986539997</v>
      </c>
      <c r="X18" s="613">
        <f>W18/P18*1000</f>
        <v>0.29889551167345657</v>
      </c>
      <c r="Z18" s="521">
        <f>ROUND(N18,0)</f>
        <v>41132675</v>
      </c>
    </row>
    <row r="19" spans="1:26" ht="11.25">
      <c r="A19" s="109"/>
      <c r="B19" s="113" t="s">
        <v>863</v>
      </c>
      <c r="C19" s="697" t="s">
        <v>864</v>
      </c>
      <c r="D19" s="566">
        <f>'6500'!D13</f>
        <v>48741.2</v>
      </c>
      <c r="E19" s="456">
        <f>'6500'!E13</f>
        <v>0</v>
      </c>
      <c r="F19" s="573">
        <f>E19-D19</f>
        <v>-48741.2</v>
      </c>
      <c r="G19" s="468">
        <f>'6500'!G13</f>
        <v>0</v>
      </c>
      <c r="H19" s="465">
        <f>'6500'!H13</f>
        <v>0</v>
      </c>
      <c r="I19" s="465">
        <f>'6500'!I13</f>
        <v>0</v>
      </c>
      <c r="J19" s="468">
        <f>'6500'!J13</f>
        <v>0</v>
      </c>
      <c r="K19" s="471"/>
      <c r="L19" s="444"/>
      <c r="M19" s="444"/>
      <c r="N19" s="447">
        <f>D19-L19+M19</f>
        <v>48741.2</v>
      </c>
      <c r="O19" s="463"/>
      <c r="P19" s="475">
        <v>74595.45</v>
      </c>
      <c r="Q19" s="475">
        <v>76059.13</v>
      </c>
      <c r="R19" s="475">
        <v>170681.01</v>
      </c>
      <c r="S19" s="475">
        <v>258352.53</v>
      </c>
      <c r="T19" s="475">
        <v>110621</v>
      </c>
      <c r="U19" s="429">
        <f>(N19-T19)/1000</f>
        <v>-61.8798</v>
      </c>
      <c r="V19" s="435">
        <f>U19/T19*1000</f>
        <v>-0.5593856501026027</v>
      </c>
      <c r="W19" s="610">
        <f>(D19-P19)/1000</f>
        <v>-25.85425</v>
      </c>
      <c r="X19" s="613">
        <f>W19/P19*1000</f>
        <v>-0.34659285519425115</v>
      </c>
      <c r="Z19" s="521">
        <f>ROUND(N19,0)</f>
        <v>48741</v>
      </c>
    </row>
    <row r="20" spans="1:26" ht="11.25">
      <c r="A20" s="109"/>
      <c r="B20" s="113" t="s">
        <v>841</v>
      </c>
      <c r="C20" s="697" t="s">
        <v>865</v>
      </c>
      <c r="D20" s="566">
        <f>'6300-1'!D17</f>
        <v>251812.7</v>
      </c>
      <c r="E20" s="456" t="e">
        <f>'6300-1'!E17</f>
        <v>#REF!</v>
      </c>
      <c r="F20" s="573" t="e">
        <f>E20-D20</f>
        <v>#REF!</v>
      </c>
      <c r="G20" s="468" t="e">
        <f>'6300-1'!G17</f>
        <v>#REF!</v>
      </c>
      <c r="H20" s="465" t="e">
        <f>'6300-1'!H17</f>
        <v>#REF!</v>
      </c>
      <c r="I20" s="465" t="e">
        <f>'6300-1'!I17</f>
        <v>#REF!</v>
      </c>
      <c r="J20" s="468" t="e">
        <f>'6300-1'!J17</f>
        <v>#REF!</v>
      </c>
      <c r="K20" s="471"/>
      <c r="L20" s="444"/>
      <c r="M20" s="444"/>
      <c r="N20" s="447">
        <f>D20-L20+M20</f>
        <v>251812.7</v>
      </c>
      <c r="O20" s="463"/>
      <c r="P20" s="475">
        <v>307718.93</v>
      </c>
      <c r="Q20" s="475">
        <v>375000</v>
      </c>
      <c r="R20" s="475">
        <v>654479.44</v>
      </c>
      <c r="S20" s="475">
        <v>929000</v>
      </c>
      <c r="T20" s="475">
        <v>263718.75</v>
      </c>
      <c r="U20" s="429">
        <f>(N20-T20)/1000</f>
        <v>-11.906049999999988</v>
      </c>
      <c r="V20" s="435">
        <f>U20/T20*1000</f>
        <v>-0.04514677094442465</v>
      </c>
      <c r="W20" s="610">
        <f>(D20-P20)/1000</f>
        <v>-55.90622999999998</v>
      </c>
      <c r="X20" s="613">
        <f>W20/P20*1000</f>
        <v>-0.18167952813302704</v>
      </c>
      <c r="Z20" s="521">
        <f>ROUND(N20,0)</f>
        <v>251813</v>
      </c>
    </row>
    <row r="21" spans="1:26" ht="11.25">
      <c r="A21" s="100"/>
      <c r="B21" s="121" t="s">
        <v>866</v>
      </c>
      <c r="C21" s="1086"/>
      <c r="D21" s="606">
        <f>SUM(D17:D20)</f>
        <v>371809704.96653986</v>
      </c>
      <c r="E21" s="606" t="e">
        <f aca="true" t="shared" si="1" ref="E21:J21">SUM(E17:E20)</f>
        <v>#REF!</v>
      </c>
      <c r="F21" s="606" t="e">
        <f t="shared" si="1"/>
        <v>#REF!</v>
      </c>
      <c r="G21" s="469" t="e">
        <f t="shared" si="1"/>
        <v>#REF!</v>
      </c>
      <c r="H21" s="469" t="e">
        <f t="shared" si="1"/>
        <v>#REF!</v>
      </c>
      <c r="I21" s="469" t="e">
        <f t="shared" si="1"/>
        <v>#REF!</v>
      </c>
      <c r="J21" s="469" t="e">
        <f t="shared" si="1"/>
        <v>#REF!</v>
      </c>
      <c r="K21" s="470"/>
      <c r="L21" s="459">
        <f>SUM(L17:L20)</f>
        <v>0</v>
      </c>
      <c r="M21" s="459">
        <f>SUM(M17:M20)</f>
        <v>0</v>
      </c>
      <c r="N21" s="459">
        <f>SUM(N17:N20)</f>
        <v>371809704.96653986</v>
      </c>
      <c r="O21" s="459">
        <f>SUM(O17:O20)</f>
        <v>0</v>
      </c>
      <c r="P21" s="621">
        <v>300609826.7900001</v>
      </c>
      <c r="Q21" s="621">
        <f>SUM(Q17:Q20)</f>
        <v>579223159.5600001</v>
      </c>
      <c r="R21" s="621">
        <f>SUM(R17:R20)</f>
        <v>873053741.3100001</v>
      </c>
      <c r="S21" s="621">
        <f>SUM(S17:S20)</f>
        <v>1149737483.72</v>
      </c>
      <c r="T21" s="621">
        <f>SUM(T17:T20)</f>
        <v>367105351.21999997</v>
      </c>
      <c r="U21" s="430">
        <f>(N21-T21)/1000</f>
        <v>4704.35374653989</v>
      </c>
      <c r="V21" s="436">
        <f>U21/T21*1000</f>
        <v>0.012814723977479292</v>
      </c>
      <c r="W21" s="976">
        <f aca="true" t="shared" si="2" ref="W21:W26">(D21-P21)/1000</f>
        <v>71199.87817653977</v>
      </c>
      <c r="X21" s="977">
        <f aca="true" t="shared" si="3" ref="X21:X26">W21/P21*1000</f>
        <v>0.23685146602435775</v>
      </c>
      <c r="Z21" s="521">
        <f>SUM(Z17:Z20)</f>
        <v>371809705</v>
      </c>
    </row>
    <row r="22" spans="1:24" ht="11.25">
      <c r="A22" s="109"/>
      <c r="B22" s="113"/>
      <c r="C22" s="1083"/>
      <c r="D22" s="456"/>
      <c r="E22" s="456"/>
      <c r="F22" s="456"/>
      <c r="G22" s="468"/>
      <c r="H22" s="468"/>
      <c r="I22" s="468"/>
      <c r="J22" s="468"/>
      <c r="K22" s="442"/>
      <c r="L22" s="444"/>
      <c r="M22" s="444"/>
      <c r="N22" s="444"/>
      <c r="O22" s="444"/>
      <c r="P22" s="475"/>
      <c r="Q22" s="475"/>
      <c r="R22" s="475"/>
      <c r="S22" s="475"/>
      <c r="T22" s="475"/>
      <c r="U22" s="429"/>
      <c r="V22" s="434"/>
      <c r="W22" s="610"/>
      <c r="X22" s="613"/>
    </row>
    <row r="23" spans="1:26" ht="11.25">
      <c r="A23" s="109"/>
      <c r="B23" s="113" t="s">
        <v>867</v>
      </c>
      <c r="C23" s="1083"/>
      <c r="D23" s="607">
        <f>D13-D21</f>
        <v>18382244.453460157</v>
      </c>
      <c r="E23" s="607" t="e">
        <f aca="true" t="shared" si="4" ref="E23:J23">E13-E21</f>
        <v>#REF!</v>
      </c>
      <c r="F23" s="607" t="e">
        <f t="shared" si="4"/>
        <v>#REF!</v>
      </c>
      <c r="G23" s="473" t="e">
        <f t="shared" si="4"/>
        <v>#REF!</v>
      </c>
      <c r="H23" s="473" t="e">
        <f t="shared" si="4"/>
        <v>#REF!</v>
      </c>
      <c r="I23" s="473" t="e">
        <f t="shared" si="4"/>
        <v>#REF!</v>
      </c>
      <c r="J23" s="473" t="e">
        <f t="shared" si="4"/>
        <v>#REF!</v>
      </c>
      <c r="K23" s="442"/>
      <c r="L23" s="444">
        <f>L13+L21</f>
        <v>0</v>
      </c>
      <c r="M23" s="474">
        <f>M13+M21</f>
        <v>0</v>
      </c>
      <c r="N23" s="447">
        <f>D23-L23+M23</f>
        <v>18382244.453460157</v>
      </c>
      <c r="O23" s="474"/>
      <c r="P23" s="622">
        <v>16376318.71999991</v>
      </c>
      <c r="Q23" s="622">
        <f>Q13-Q21</f>
        <v>41917070.11000013</v>
      </c>
      <c r="R23" s="622">
        <f>R13-R21</f>
        <v>55929687.329999804</v>
      </c>
      <c r="S23" s="622">
        <f>S13-S21</f>
        <v>101238209.51999974</v>
      </c>
      <c r="T23" s="622">
        <v>-8422722.21000004</v>
      </c>
      <c r="U23" s="429">
        <f>(N23-T23)/1000</f>
        <v>26804.966663460196</v>
      </c>
      <c r="V23" s="435">
        <f>U23/T23*1000</f>
        <v>-3.1824588292411544</v>
      </c>
      <c r="W23" s="610">
        <f>(D23-P23)/1000</f>
        <v>2005.9257334602476</v>
      </c>
      <c r="X23" s="613">
        <f t="shared" si="3"/>
        <v>0.12248941705137129</v>
      </c>
      <c r="Z23" s="521">
        <f>Z13-Z21</f>
        <v>18382244</v>
      </c>
    </row>
    <row r="24" spans="1:26" ht="11.25">
      <c r="A24" s="917">
        <v>570000</v>
      </c>
      <c r="B24" s="113" t="s">
        <v>949</v>
      </c>
      <c r="C24" s="181"/>
      <c r="D24" s="821">
        <f>-TB!D1642</f>
        <v>-5645001.486227198</v>
      </c>
      <c r="E24" s="566"/>
      <c r="F24" s="566"/>
      <c r="G24" s="468"/>
      <c r="H24" s="468"/>
      <c r="I24" s="909"/>
      <c r="J24" s="468"/>
      <c r="K24" s="1095"/>
      <c r="L24" s="448"/>
      <c r="M24" s="474"/>
      <c r="N24" s="804">
        <f>D24+L24-M24</f>
        <v>-5645001.486227198</v>
      </c>
      <c r="O24" s="463"/>
      <c r="P24" s="476">
        <v>-5124211.13364122</v>
      </c>
      <c r="Q24" s="476">
        <v>10398227.61764363</v>
      </c>
      <c r="R24" s="476">
        <v>12447894.81272059</v>
      </c>
      <c r="S24" s="475">
        <v>25160125.829699013</v>
      </c>
      <c r="T24" s="475">
        <v>-13428091.423013886</v>
      </c>
      <c r="U24" s="429">
        <f>(N24-T24)/1000</f>
        <v>7783.089936786689</v>
      </c>
      <c r="V24" s="435">
        <f>U24/T24*1000</f>
        <v>-0.5796125221077623</v>
      </c>
      <c r="W24" s="610">
        <f t="shared" si="2"/>
        <v>-520.7903525859779</v>
      </c>
      <c r="X24" s="613">
        <f t="shared" si="3"/>
        <v>0.10163327368907783</v>
      </c>
      <c r="Z24" s="521">
        <f>ROUND(N24,0)</f>
        <v>-5645001</v>
      </c>
    </row>
    <row r="25" spans="1:24" ht="11.25">
      <c r="A25" s="109"/>
      <c r="B25" s="109"/>
      <c r="C25" s="181"/>
      <c r="D25" s="456"/>
      <c r="E25" s="456"/>
      <c r="F25" s="456"/>
      <c r="G25" s="468"/>
      <c r="H25" s="468"/>
      <c r="I25" s="468"/>
      <c r="J25" s="468"/>
      <c r="K25" s="442"/>
      <c r="L25" s="444"/>
      <c r="M25" s="444"/>
      <c r="N25" s="444"/>
      <c r="O25" s="444"/>
      <c r="P25" s="475"/>
      <c r="Q25" s="475"/>
      <c r="R25" s="475"/>
      <c r="S25" s="475"/>
      <c r="T25" s="475"/>
      <c r="U25" s="429"/>
      <c r="V25" s="434"/>
      <c r="W25" s="610"/>
      <c r="X25" s="613"/>
    </row>
    <row r="26" spans="1:26" s="3" customFormat="1" ht="11.25">
      <c r="A26" s="191"/>
      <c r="B26" s="191" t="s">
        <v>868</v>
      </c>
      <c r="C26" s="615"/>
      <c r="D26" s="616">
        <f>D23+D24</f>
        <v>12737242.96723296</v>
      </c>
      <c r="E26" s="616" t="e">
        <f aca="true" t="shared" si="5" ref="E26:J26">E23-E24</f>
        <v>#REF!</v>
      </c>
      <c r="F26" s="616" t="e">
        <f t="shared" si="5"/>
        <v>#REF!</v>
      </c>
      <c r="G26" s="469" t="e">
        <f t="shared" si="5"/>
        <v>#REF!</v>
      </c>
      <c r="H26" s="469" t="e">
        <f t="shared" si="5"/>
        <v>#REF!</v>
      </c>
      <c r="I26" s="469" t="e">
        <f t="shared" si="5"/>
        <v>#REF!</v>
      </c>
      <c r="J26" s="469" t="e">
        <f t="shared" si="5"/>
        <v>#REF!</v>
      </c>
      <c r="K26" s="617"/>
      <c r="L26" s="459">
        <f>SUM(L23:L25)</f>
        <v>0</v>
      </c>
      <c r="M26" s="459">
        <f>SUM(M23:M25)</f>
        <v>0</v>
      </c>
      <c r="N26" s="616">
        <f>N23+N24</f>
        <v>12737242.96723296</v>
      </c>
      <c r="O26" s="459">
        <f>O23-O24</f>
        <v>0</v>
      </c>
      <c r="P26" s="623">
        <v>11252107.586358692</v>
      </c>
      <c r="Q26" s="623">
        <f>Q23-Q24</f>
        <v>31518842.4923565</v>
      </c>
      <c r="R26" s="623">
        <f>R23-R24</f>
        <v>43481792.517279215</v>
      </c>
      <c r="S26" s="623">
        <f>S23-S24</f>
        <v>76078083.69030073</v>
      </c>
      <c r="T26" s="623">
        <f>T23-T24</f>
        <v>5005369.213013846</v>
      </c>
      <c r="U26" s="430">
        <f>(N26-T26)/1000</f>
        <v>7731.873754219113</v>
      </c>
      <c r="V26" s="436">
        <f>U26/T26*1000</f>
        <v>1.5447159690271033</v>
      </c>
      <c r="W26" s="976">
        <f t="shared" si="2"/>
        <v>1485.135380874267</v>
      </c>
      <c r="X26" s="977">
        <f t="shared" si="3"/>
        <v>0.13198730722009328</v>
      </c>
      <c r="Z26" s="1637">
        <f>SUM(Z23:Z24)</f>
        <v>12737243</v>
      </c>
    </row>
    <row r="27" spans="1:22" ht="11.25">
      <c r="A27" s="104"/>
      <c r="B27" s="104"/>
      <c r="C27" s="291"/>
      <c r="D27" s="608"/>
      <c r="E27" s="608"/>
      <c r="F27" s="608"/>
      <c r="G27" s="103"/>
      <c r="H27" s="103"/>
      <c r="I27" s="103"/>
      <c r="J27" s="103"/>
      <c r="P27" s="624"/>
      <c r="Q27" s="624"/>
      <c r="R27" s="624"/>
      <c r="S27" s="624"/>
      <c r="T27" s="624"/>
      <c r="U27" s="125"/>
      <c r="V27" s="609"/>
    </row>
    <row r="28" spans="4:22" ht="11.25">
      <c r="D28" s="1287">
        <f>D26+TB!E1645</f>
        <v>1.9371509552001953E-07</v>
      </c>
      <c r="P28" s="975"/>
      <c r="Q28" s="975"/>
      <c r="R28" s="975"/>
      <c r="S28" s="625"/>
      <c r="T28" s="625"/>
      <c r="U28" s="126"/>
      <c r="V28" s="127"/>
    </row>
    <row r="29" spans="16:22" ht="11.25">
      <c r="P29" s="975"/>
      <c r="Q29" s="975"/>
      <c r="R29" s="975"/>
      <c r="S29" s="625"/>
      <c r="T29" s="625"/>
      <c r="U29" s="126"/>
      <c r="V29" s="127"/>
    </row>
    <row r="30" spans="16:22" ht="11.25">
      <c r="P30" s="975"/>
      <c r="Q30" s="975"/>
      <c r="R30" s="975"/>
      <c r="S30" s="625"/>
      <c r="T30" s="625"/>
      <c r="U30" s="126"/>
      <c r="V30" s="127"/>
    </row>
    <row r="31" spans="16:22" ht="11.25">
      <c r="P31" s="975"/>
      <c r="Q31" s="975"/>
      <c r="R31" s="975"/>
      <c r="S31" s="625"/>
      <c r="T31" s="625"/>
      <c r="U31" s="126"/>
      <c r="V31" s="127"/>
    </row>
    <row r="32" spans="16:22" ht="11.25">
      <c r="P32" s="975"/>
      <c r="Q32" s="975"/>
      <c r="R32" s="975"/>
      <c r="S32" s="625"/>
      <c r="T32" s="625"/>
      <c r="U32" s="126"/>
      <c r="V32" s="127"/>
    </row>
    <row r="33" spans="16:22" ht="11.25">
      <c r="P33" s="975"/>
      <c r="Q33" s="975"/>
      <c r="R33" s="975"/>
      <c r="U33" s="126"/>
      <c r="V33" s="127"/>
    </row>
    <row r="34" spans="16:22" ht="11.25">
      <c r="P34" s="975"/>
      <c r="Q34" s="975"/>
      <c r="R34" s="975"/>
      <c r="U34" s="126"/>
      <c r="V34" s="127"/>
    </row>
    <row r="35" spans="16:22" ht="11.25">
      <c r="P35" s="975"/>
      <c r="Q35" s="975"/>
      <c r="R35" s="975"/>
      <c r="U35" s="126"/>
      <c r="V35" s="127"/>
    </row>
    <row r="36" spans="16:22" ht="11.25">
      <c r="P36" s="975"/>
      <c r="Q36" s="975"/>
      <c r="R36" s="975"/>
      <c r="U36" s="126"/>
      <c r="V36" s="127"/>
    </row>
    <row r="37" spans="16:22" ht="11.25">
      <c r="P37" s="975"/>
      <c r="Q37" s="975"/>
      <c r="R37" s="975"/>
      <c r="U37" s="126"/>
      <c r="V37" s="127"/>
    </row>
    <row r="38" spans="16:22" ht="11.25">
      <c r="P38" s="975"/>
      <c r="Q38" s="975"/>
      <c r="R38" s="975"/>
      <c r="U38" s="126"/>
      <c r="V38" s="127"/>
    </row>
    <row r="39" spans="16:22" ht="11.25">
      <c r="P39" s="975"/>
      <c r="Q39" s="975"/>
      <c r="R39" s="975"/>
      <c r="U39" s="126"/>
      <c r="V39" s="127"/>
    </row>
    <row r="40" spans="16:22" ht="11.25">
      <c r="P40" s="975"/>
      <c r="Q40" s="975"/>
      <c r="R40" s="975"/>
      <c r="U40" s="126"/>
      <c r="V40" s="127"/>
    </row>
    <row r="41" spans="16:22" ht="11.25">
      <c r="P41" s="975"/>
      <c r="Q41" s="975"/>
      <c r="R41" s="975"/>
      <c r="U41" s="126"/>
      <c r="V41" s="127"/>
    </row>
    <row r="42" spans="16:22" ht="11.25">
      <c r="P42" s="975"/>
      <c r="Q42" s="975"/>
      <c r="R42" s="975"/>
      <c r="U42" s="126"/>
      <c r="V42" s="127"/>
    </row>
    <row r="43" spans="16:22" ht="11.25">
      <c r="P43" s="975"/>
      <c r="Q43" s="975"/>
      <c r="R43" s="975"/>
      <c r="U43" s="126"/>
      <c r="V43" s="127"/>
    </row>
    <row r="44" spans="16:22" ht="11.25">
      <c r="P44" s="975"/>
      <c r="Q44" s="975"/>
      <c r="R44" s="975"/>
      <c r="U44" s="126"/>
      <c r="V44" s="127"/>
    </row>
    <row r="45" spans="16:22" ht="11.25">
      <c r="P45" s="975"/>
      <c r="Q45" s="975"/>
      <c r="R45" s="975"/>
      <c r="U45" s="126"/>
      <c r="V45" s="127"/>
    </row>
    <row r="46" spans="16:22" ht="11.25">
      <c r="P46" s="974"/>
      <c r="Q46" s="974"/>
      <c r="R46" s="974"/>
      <c r="U46" s="126"/>
      <c r="V46" s="127"/>
    </row>
    <row r="47" spans="16:22" ht="11.25">
      <c r="P47" s="974"/>
      <c r="Q47" s="974"/>
      <c r="R47" s="974"/>
      <c r="U47" s="126"/>
      <c r="V47" s="127"/>
    </row>
    <row r="48" spans="16:22" ht="11.25">
      <c r="P48" s="974"/>
      <c r="Q48" s="974"/>
      <c r="R48" s="974"/>
      <c r="U48" s="126"/>
      <c r="V48" s="127"/>
    </row>
    <row r="49" spans="16:22" ht="11.25">
      <c r="P49" s="974"/>
      <c r="Q49" s="974"/>
      <c r="R49" s="974"/>
      <c r="U49" s="126"/>
      <c r="V49" s="127"/>
    </row>
    <row r="50" spans="16:22" ht="11.25">
      <c r="P50" s="974"/>
      <c r="Q50" s="974"/>
      <c r="R50" s="974"/>
      <c r="U50" s="126"/>
      <c r="V50" s="127"/>
    </row>
    <row r="51" spans="16:22" ht="11.25">
      <c r="P51" s="974"/>
      <c r="Q51" s="974"/>
      <c r="R51" s="974"/>
      <c r="U51" s="126"/>
      <c r="V51" s="127"/>
    </row>
    <row r="52" spans="16:22" ht="11.25">
      <c r="P52" s="974"/>
      <c r="Q52" s="974"/>
      <c r="R52" s="974"/>
      <c r="U52" s="126"/>
      <c r="V52" s="127"/>
    </row>
    <row r="53" spans="16:22" ht="11.25">
      <c r="P53" s="974"/>
      <c r="Q53" s="974"/>
      <c r="R53" s="974"/>
      <c r="U53" s="126"/>
      <c r="V53" s="127"/>
    </row>
    <row r="54" spans="16:22" ht="11.25">
      <c r="P54" s="974"/>
      <c r="Q54" s="974"/>
      <c r="R54" s="974"/>
      <c r="U54" s="126"/>
      <c r="V54" s="127"/>
    </row>
    <row r="55" spans="16:22" ht="11.25">
      <c r="P55" s="974"/>
      <c r="Q55" s="974"/>
      <c r="R55" s="974"/>
      <c r="U55" s="126"/>
      <c r="V55" s="127"/>
    </row>
    <row r="56" spans="16:22" ht="11.25">
      <c r="P56" s="974"/>
      <c r="Q56" s="974"/>
      <c r="R56" s="974"/>
      <c r="U56" s="126"/>
      <c r="V56" s="127"/>
    </row>
    <row r="57" spans="16:22" ht="11.25">
      <c r="P57" s="974"/>
      <c r="Q57" s="974"/>
      <c r="R57" s="974"/>
      <c r="U57" s="126"/>
      <c r="V57" s="127"/>
    </row>
    <row r="58" spans="16:22" ht="11.25">
      <c r="P58" s="974"/>
      <c r="Q58" s="974"/>
      <c r="R58" s="974"/>
      <c r="U58" s="126"/>
      <c r="V58" s="127"/>
    </row>
    <row r="59" spans="16:22" ht="11.25">
      <c r="P59" s="974"/>
      <c r="Q59" s="974"/>
      <c r="R59" s="974"/>
      <c r="U59" s="126"/>
      <c r="V59" s="127"/>
    </row>
    <row r="60" spans="16:22" ht="11.25">
      <c r="P60" s="974"/>
      <c r="Q60" s="974"/>
      <c r="R60" s="974"/>
      <c r="U60" s="126"/>
      <c r="V60" s="127"/>
    </row>
    <row r="61" spans="16:22" ht="11.25">
      <c r="P61" s="974"/>
      <c r="Q61" s="974"/>
      <c r="R61" s="974"/>
      <c r="U61" s="126"/>
      <c r="V61" s="127"/>
    </row>
    <row r="62" spans="16:22" ht="11.25">
      <c r="P62" s="974"/>
      <c r="Q62" s="974"/>
      <c r="R62" s="974"/>
      <c r="U62" s="126"/>
      <c r="V62" s="127"/>
    </row>
    <row r="63" spans="16:22" ht="11.25">
      <c r="P63" s="974"/>
      <c r="Q63" s="974"/>
      <c r="R63" s="974"/>
      <c r="U63" s="126"/>
      <c r="V63" s="127"/>
    </row>
    <row r="64" spans="16:22" ht="11.25">
      <c r="P64" s="974"/>
      <c r="Q64" s="974"/>
      <c r="R64" s="974"/>
      <c r="U64" s="126"/>
      <c r="V64" s="127"/>
    </row>
    <row r="65" spans="16:22" ht="11.25">
      <c r="P65" s="974"/>
      <c r="Q65" s="974"/>
      <c r="R65" s="974"/>
      <c r="U65" s="126"/>
      <c r="V65" s="127"/>
    </row>
    <row r="66" spans="16:22" ht="11.25">
      <c r="P66" s="974"/>
      <c r="Q66" s="974"/>
      <c r="R66" s="974"/>
      <c r="U66" s="126"/>
      <c r="V66" s="127"/>
    </row>
    <row r="67" spans="16:22" ht="11.25">
      <c r="P67" s="974"/>
      <c r="Q67" s="974"/>
      <c r="R67" s="974"/>
      <c r="U67" s="126"/>
      <c r="V67" s="127"/>
    </row>
    <row r="68" spans="16:22" ht="11.25">
      <c r="P68" s="974"/>
      <c r="Q68" s="974"/>
      <c r="R68" s="974"/>
      <c r="U68" s="126"/>
      <c r="V68" s="127"/>
    </row>
    <row r="69" spans="16:22" ht="11.25">
      <c r="P69" s="974"/>
      <c r="Q69" s="974"/>
      <c r="R69" s="974"/>
      <c r="U69" s="126"/>
      <c r="V69" s="127"/>
    </row>
    <row r="70" spans="16:22" ht="11.25">
      <c r="P70" s="974"/>
      <c r="Q70" s="974"/>
      <c r="R70" s="974"/>
      <c r="U70" s="126"/>
      <c r="V70" s="127"/>
    </row>
    <row r="71" spans="16:22" ht="11.25">
      <c r="P71" s="974"/>
      <c r="Q71" s="974"/>
      <c r="R71" s="974"/>
      <c r="U71" s="126"/>
      <c r="V71" s="127"/>
    </row>
    <row r="72" spans="16:22" ht="11.25">
      <c r="P72" s="974"/>
      <c r="Q72" s="974"/>
      <c r="R72" s="974"/>
      <c r="U72" s="126"/>
      <c r="V72" s="127"/>
    </row>
    <row r="73" spans="16:22" ht="11.25">
      <c r="P73" s="974"/>
      <c r="Q73" s="974"/>
      <c r="R73" s="974"/>
      <c r="U73" s="126"/>
      <c r="V73" s="127"/>
    </row>
    <row r="74" spans="16:22" ht="11.25">
      <c r="P74" s="974"/>
      <c r="Q74" s="974"/>
      <c r="R74" s="974"/>
      <c r="U74" s="126"/>
      <c r="V74" s="127"/>
    </row>
    <row r="75" spans="16:22" ht="11.25">
      <c r="P75" s="974"/>
      <c r="Q75" s="974"/>
      <c r="R75" s="974"/>
      <c r="U75" s="126"/>
      <c r="V75" s="127"/>
    </row>
    <row r="76" spans="16:22" ht="11.25">
      <c r="P76" s="974"/>
      <c r="Q76" s="974"/>
      <c r="R76" s="974"/>
      <c r="U76" s="126"/>
      <c r="V76" s="127"/>
    </row>
    <row r="77" spans="16:22" ht="11.25">
      <c r="P77" s="974"/>
      <c r="Q77" s="974"/>
      <c r="R77" s="974"/>
      <c r="U77" s="126"/>
      <c r="V77" s="127"/>
    </row>
    <row r="78" spans="16:22" ht="11.25">
      <c r="P78" s="974"/>
      <c r="Q78" s="974"/>
      <c r="R78" s="974"/>
      <c r="U78" s="126"/>
      <c r="V78" s="127"/>
    </row>
    <row r="79" spans="16:22" ht="11.25">
      <c r="P79" s="974"/>
      <c r="Q79" s="974"/>
      <c r="R79" s="974"/>
      <c r="U79" s="126"/>
      <c r="V79" s="127"/>
    </row>
    <row r="80" spans="16:22" ht="11.25">
      <c r="P80" s="974"/>
      <c r="Q80" s="974"/>
      <c r="R80" s="974"/>
      <c r="U80" s="126"/>
      <c r="V80" s="127"/>
    </row>
    <row r="81" spans="16:22" ht="11.25">
      <c r="P81" s="974"/>
      <c r="Q81" s="974"/>
      <c r="R81" s="974"/>
      <c r="U81" s="126"/>
      <c r="V81" s="127"/>
    </row>
    <row r="82" spans="16:22" ht="11.25">
      <c r="P82" s="974"/>
      <c r="Q82" s="974"/>
      <c r="R82" s="974"/>
      <c r="U82" s="126"/>
      <c r="V82" s="127"/>
    </row>
    <row r="83" spans="16:22" ht="11.25">
      <c r="P83" s="974"/>
      <c r="Q83" s="974"/>
      <c r="R83" s="974"/>
      <c r="U83" s="126"/>
      <c r="V83" s="127"/>
    </row>
    <row r="84" spans="16:22" ht="11.25">
      <c r="P84" s="974"/>
      <c r="Q84" s="974"/>
      <c r="R84" s="974"/>
      <c r="U84" s="126"/>
      <c r="V84" s="127"/>
    </row>
    <row r="85" spans="16:22" ht="11.25">
      <c r="P85" s="974"/>
      <c r="Q85" s="974"/>
      <c r="R85" s="974"/>
      <c r="U85" s="126"/>
      <c r="V85" s="127"/>
    </row>
    <row r="86" spans="16:22" ht="11.25">
      <c r="P86" s="974"/>
      <c r="Q86" s="974"/>
      <c r="R86" s="974"/>
      <c r="U86" s="126"/>
      <c r="V86" s="127"/>
    </row>
    <row r="87" spans="16:22" ht="11.25">
      <c r="P87" s="974"/>
      <c r="Q87" s="974"/>
      <c r="R87" s="974"/>
      <c r="U87" s="126"/>
      <c r="V87" s="127"/>
    </row>
    <row r="88" spans="16:22" ht="11.25">
      <c r="P88" s="974"/>
      <c r="Q88" s="974"/>
      <c r="R88" s="974"/>
      <c r="U88" s="126"/>
      <c r="V88" s="127"/>
    </row>
    <row r="89" spans="16:22" ht="11.25">
      <c r="P89" s="974"/>
      <c r="Q89" s="974"/>
      <c r="R89" s="974"/>
      <c r="U89" s="126"/>
      <c r="V89" s="127"/>
    </row>
    <row r="90" spans="16:22" ht="11.25">
      <c r="P90" s="974"/>
      <c r="Q90" s="974"/>
      <c r="R90" s="974"/>
      <c r="U90" s="126"/>
      <c r="V90" s="127"/>
    </row>
    <row r="91" spans="16:22" ht="11.25">
      <c r="P91" s="974"/>
      <c r="Q91" s="974"/>
      <c r="R91" s="974"/>
      <c r="U91" s="126"/>
      <c r="V91" s="127"/>
    </row>
    <row r="92" spans="16:22" ht="11.25">
      <c r="P92" s="974"/>
      <c r="Q92" s="974"/>
      <c r="R92" s="974"/>
      <c r="U92" s="126"/>
      <c r="V92" s="127"/>
    </row>
    <row r="93" spans="16:22" ht="11.25">
      <c r="P93" s="974"/>
      <c r="Q93" s="974"/>
      <c r="R93" s="974"/>
      <c r="U93" s="126"/>
      <c r="V93" s="127"/>
    </row>
    <row r="94" spans="16:22" ht="11.25">
      <c r="P94" s="974"/>
      <c r="Q94" s="974"/>
      <c r="R94" s="974"/>
      <c r="U94" s="126"/>
      <c r="V94" s="127"/>
    </row>
    <row r="95" spans="16:22" ht="11.25">
      <c r="P95" s="974"/>
      <c r="Q95" s="974"/>
      <c r="R95" s="974"/>
      <c r="U95" s="126"/>
      <c r="V95" s="127"/>
    </row>
    <row r="96" spans="16:22" ht="11.25">
      <c r="P96" s="974"/>
      <c r="Q96" s="974"/>
      <c r="R96" s="974"/>
      <c r="U96" s="126"/>
      <c r="V96" s="127"/>
    </row>
    <row r="97" spans="16:22" ht="11.25">
      <c r="P97" s="974"/>
      <c r="Q97" s="974"/>
      <c r="R97" s="974"/>
      <c r="U97" s="126"/>
      <c r="V97" s="127"/>
    </row>
    <row r="98" spans="16:22" ht="11.25">
      <c r="P98" s="974"/>
      <c r="Q98" s="974"/>
      <c r="R98" s="974"/>
      <c r="U98" s="126"/>
      <c r="V98" s="127"/>
    </row>
    <row r="99" spans="16:22" ht="11.25">
      <c r="P99" s="974"/>
      <c r="Q99" s="974"/>
      <c r="R99" s="974"/>
      <c r="U99" s="126"/>
      <c r="V99" s="127"/>
    </row>
    <row r="100" spans="16:22" ht="11.25">
      <c r="P100" s="974"/>
      <c r="Q100" s="974"/>
      <c r="R100" s="974"/>
      <c r="U100" s="126"/>
      <c r="V100" s="127"/>
    </row>
    <row r="101" spans="16:22" ht="11.25">
      <c r="P101" s="974"/>
      <c r="Q101" s="974"/>
      <c r="R101" s="974"/>
      <c r="U101" s="126"/>
      <c r="V101" s="127"/>
    </row>
    <row r="102" spans="16:22" ht="11.25">
      <c r="P102" s="974"/>
      <c r="Q102" s="974"/>
      <c r="R102" s="974"/>
      <c r="U102" s="126"/>
      <c r="V102" s="127"/>
    </row>
    <row r="103" spans="16:22" ht="11.25">
      <c r="P103" s="974"/>
      <c r="Q103" s="974"/>
      <c r="R103" s="974"/>
      <c r="U103" s="126"/>
      <c r="V103" s="127"/>
    </row>
    <row r="104" spans="16:22" ht="11.25">
      <c r="P104" s="974"/>
      <c r="Q104" s="974"/>
      <c r="R104" s="974"/>
      <c r="U104" s="126"/>
      <c r="V104" s="127"/>
    </row>
    <row r="105" spans="16:22" ht="11.25">
      <c r="P105" s="974"/>
      <c r="Q105" s="974"/>
      <c r="R105" s="974"/>
      <c r="U105" s="126"/>
      <c r="V105" s="127"/>
    </row>
    <row r="106" spans="16:22" ht="11.25">
      <c r="P106" s="974"/>
      <c r="Q106" s="974"/>
      <c r="R106" s="974"/>
      <c r="U106" s="126"/>
      <c r="V106" s="127"/>
    </row>
    <row r="107" spans="16:22" ht="11.25">
      <c r="P107" s="974"/>
      <c r="Q107" s="974"/>
      <c r="R107" s="974"/>
      <c r="U107" s="126"/>
      <c r="V107" s="127"/>
    </row>
    <row r="108" spans="16:22" ht="11.25">
      <c r="P108" s="974"/>
      <c r="Q108" s="974"/>
      <c r="R108" s="974"/>
      <c r="U108" s="126"/>
      <c r="V108" s="127"/>
    </row>
    <row r="109" spans="16:22" ht="11.25">
      <c r="P109" s="974"/>
      <c r="Q109" s="974"/>
      <c r="R109" s="974"/>
      <c r="U109" s="126"/>
      <c r="V109" s="127"/>
    </row>
    <row r="110" spans="16:22" ht="11.25">
      <c r="P110" s="974"/>
      <c r="Q110" s="974"/>
      <c r="R110" s="974"/>
      <c r="U110" s="126"/>
      <c r="V110" s="127"/>
    </row>
    <row r="111" spans="16:22" ht="11.25">
      <c r="P111" s="974"/>
      <c r="Q111" s="974"/>
      <c r="R111" s="974"/>
      <c r="U111" s="126"/>
      <c r="V111" s="127"/>
    </row>
    <row r="112" spans="16:22" ht="11.25">
      <c r="P112" s="974"/>
      <c r="Q112" s="974"/>
      <c r="R112" s="974"/>
      <c r="U112" s="126"/>
      <c r="V112" s="127"/>
    </row>
    <row r="113" spans="16:22" ht="11.25">
      <c r="P113" s="974"/>
      <c r="Q113" s="974"/>
      <c r="R113" s="974"/>
      <c r="U113" s="126"/>
      <c r="V113" s="127"/>
    </row>
    <row r="114" spans="16:22" ht="11.25">
      <c r="P114" s="974"/>
      <c r="Q114" s="974"/>
      <c r="R114" s="974"/>
      <c r="U114" s="126"/>
      <c r="V114" s="127"/>
    </row>
    <row r="115" spans="16:22" ht="11.25">
      <c r="P115" s="974"/>
      <c r="Q115" s="974"/>
      <c r="R115" s="974"/>
      <c r="U115" s="126"/>
      <c r="V115" s="127"/>
    </row>
    <row r="116" spans="16:22" ht="11.25">
      <c r="P116" s="974"/>
      <c r="Q116" s="974"/>
      <c r="R116" s="974"/>
      <c r="U116" s="126"/>
      <c r="V116" s="127"/>
    </row>
    <row r="117" spans="16:22" ht="11.25">
      <c r="P117" s="974"/>
      <c r="Q117" s="974"/>
      <c r="R117" s="974"/>
      <c r="U117" s="126"/>
      <c r="V117" s="127"/>
    </row>
    <row r="118" spans="16:22" ht="11.25">
      <c r="P118" s="974"/>
      <c r="Q118" s="974"/>
      <c r="R118" s="974"/>
      <c r="U118" s="126"/>
      <c r="V118" s="127"/>
    </row>
    <row r="119" spans="16:22" ht="11.25">
      <c r="P119" s="974"/>
      <c r="Q119" s="974"/>
      <c r="R119" s="974"/>
      <c r="U119" s="126"/>
      <c r="V119" s="127"/>
    </row>
    <row r="120" spans="16:22" ht="11.25">
      <c r="P120" s="974"/>
      <c r="Q120" s="974"/>
      <c r="R120" s="974"/>
      <c r="U120" s="126"/>
      <c r="V120" s="127"/>
    </row>
    <row r="121" spans="16:22" ht="11.25">
      <c r="P121" s="974"/>
      <c r="Q121" s="974"/>
      <c r="R121" s="974"/>
      <c r="U121" s="126"/>
      <c r="V121" s="127"/>
    </row>
    <row r="122" spans="16:22" ht="11.25">
      <c r="P122" s="974"/>
      <c r="Q122" s="974"/>
      <c r="R122" s="974"/>
      <c r="U122" s="126"/>
      <c r="V122" s="127"/>
    </row>
    <row r="123" spans="16:22" ht="11.25">
      <c r="P123" s="974"/>
      <c r="Q123" s="974"/>
      <c r="R123" s="974"/>
      <c r="U123" s="126"/>
      <c r="V123" s="127"/>
    </row>
    <row r="124" spans="16:22" ht="11.25">
      <c r="P124" s="974"/>
      <c r="Q124" s="974"/>
      <c r="R124" s="974"/>
      <c r="U124" s="126"/>
      <c r="V124" s="127"/>
    </row>
    <row r="125" spans="16:22" ht="11.25">
      <c r="P125" s="974"/>
      <c r="Q125" s="974"/>
      <c r="R125" s="974"/>
      <c r="U125" s="126"/>
      <c r="V125" s="127"/>
    </row>
    <row r="126" spans="16:22" ht="11.25">
      <c r="P126" s="974"/>
      <c r="Q126" s="974"/>
      <c r="R126" s="974"/>
      <c r="U126" s="126"/>
      <c r="V126" s="127"/>
    </row>
    <row r="127" spans="16:22" ht="11.25">
      <c r="P127" s="974"/>
      <c r="Q127" s="974"/>
      <c r="R127" s="974"/>
      <c r="U127" s="126"/>
      <c r="V127" s="127"/>
    </row>
    <row r="128" spans="16:22" ht="11.25">
      <c r="P128" s="974"/>
      <c r="Q128" s="974"/>
      <c r="R128" s="974"/>
      <c r="U128" s="126"/>
      <c r="V128" s="127"/>
    </row>
    <row r="129" spans="16:22" ht="11.25">
      <c r="P129" s="974"/>
      <c r="Q129" s="974"/>
      <c r="R129" s="974"/>
      <c r="U129" s="126"/>
      <c r="V129" s="127"/>
    </row>
    <row r="130" spans="16:22" ht="11.25">
      <c r="P130" s="974"/>
      <c r="Q130" s="974"/>
      <c r="R130" s="974"/>
      <c r="U130" s="126"/>
      <c r="V130" s="127"/>
    </row>
    <row r="131" spans="16:22" ht="11.25">
      <c r="P131" s="974"/>
      <c r="Q131" s="974"/>
      <c r="R131" s="974"/>
      <c r="U131" s="126"/>
      <c r="V131" s="127"/>
    </row>
    <row r="132" spans="16:22" ht="11.25">
      <c r="P132" s="974"/>
      <c r="Q132" s="974"/>
      <c r="R132" s="974"/>
      <c r="U132" s="126"/>
      <c r="V132" s="127"/>
    </row>
    <row r="133" spans="16:22" ht="11.25">
      <c r="P133" s="974"/>
      <c r="Q133" s="974"/>
      <c r="R133" s="974"/>
      <c r="U133" s="126"/>
      <c r="V133" s="127"/>
    </row>
    <row r="134" spans="16:22" ht="11.25">
      <c r="P134" s="974"/>
      <c r="Q134" s="974"/>
      <c r="R134" s="974"/>
      <c r="U134" s="126"/>
      <c r="V134" s="127"/>
    </row>
    <row r="135" spans="16:22" ht="11.25">
      <c r="P135" s="974"/>
      <c r="Q135" s="974"/>
      <c r="R135" s="974"/>
      <c r="U135" s="126"/>
      <c r="V135" s="127"/>
    </row>
    <row r="136" spans="16:22" ht="11.25">
      <c r="P136" s="974"/>
      <c r="Q136" s="974"/>
      <c r="R136" s="974"/>
      <c r="U136" s="126"/>
      <c r="V136" s="127"/>
    </row>
    <row r="137" spans="16:22" ht="11.25">
      <c r="P137" s="974"/>
      <c r="Q137" s="974"/>
      <c r="R137" s="974"/>
      <c r="U137" s="126"/>
      <c r="V137" s="127"/>
    </row>
    <row r="138" spans="16:22" ht="11.25">
      <c r="P138" s="974"/>
      <c r="Q138" s="974"/>
      <c r="R138" s="974"/>
      <c r="U138" s="126"/>
      <c r="V138" s="127"/>
    </row>
    <row r="139" spans="16:22" ht="11.25">
      <c r="P139" s="974"/>
      <c r="Q139" s="974"/>
      <c r="R139" s="974"/>
      <c r="U139" s="126"/>
      <c r="V139" s="127"/>
    </row>
    <row r="140" spans="16:22" ht="11.25">
      <c r="P140" s="974"/>
      <c r="Q140" s="974"/>
      <c r="R140" s="974"/>
      <c r="U140" s="126"/>
      <c r="V140" s="127"/>
    </row>
    <row r="141" spans="16:22" ht="11.25">
      <c r="P141" s="974"/>
      <c r="Q141" s="974"/>
      <c r="R141" s="974"/>
      <c r="U141" s="126"/>
      <c r="V141" s="127"/>
    </row>
    <row r="142" spans="16:22" ht="11.25">
      <c r="P142" s="974"/>
      <c r="Q142" s="974"/>
      <c r="R142" s="974"/>
      <c r="U142" s="126"/>
      <c r="V142" s="127"/>
    </row>
    <row r="143" spans="16:22" ht="11.25">
      <c r="P143" s="974"/>
      <c r="Q143" s="974"/>
      <c r="R143" s="974"/>
      <c r="U143" s="126"/>
      <c r="V143" s="127"/>
    </row>
    <row r="144" spans="16:22" ht="11.25">
      <c r="P144" s="974"/>
      <c r="Q144" s="974"/>
      <c r="R144" s="974"/>
      <c r="U144" s="126"/>
      <c r="V144" s="127"/>
    </row>
    <row r="145" spans="16:22" ht="11.25">
      <c r="P145" s="974"/>
      <c r="Q145" s="974"/>
      <c r="R145" s="974"/>
      <c r="U145" s="126"/>
      <c r="V145" s="127"/>
    </row>
    <row r="146" spans="16:22" ht="11.25">
      <c r="P146" s="974"/>
      <c r="Q146" s="974"/>
      <c r="R146" s="974"/>
      <c r="U146" s="126"/>
      <c r="V146" s="127"/>
    </row>
    <row r="147" spans="16:22" ht="11.25">
      <c r="P147" s="974"/>
      <c r="Q147" s="974"/>
      <c r="R147" s="974"/>
      <c r="U147" s="126"/>
      <c r="V147" s="127"/>
    </row>
    <row r="148" spans="16:22" ht="11.25">
      <c r="P148" s="974"/>
      <c r="Q148" s="974"/>
      <c r="R148" s="974"/>
      <c r="U148" s="126"/>
      <c r="V148" s="127"/>
    </row>
    <row r="149" spans="16:22" ht="11.25">
      <c r="P149" s="974"/>
      <c r="Q149" s="974"/>
      <c r="R149" s="974"/>
      <c r="U149" s="126"/>
      <c r="V149" s="127"/>
    </row>
    <row r="150" spans="16:22" ht="11.25">
      <c r="P150" s="974"/>
      <c r="Q150" s="974"/>
      <c r="R150" s="974"/>
      <c r="U150" s="126"/>
      <c r="V150" s="127"/>
    </row>
    <row r="151" spans="16:22" ht="11.25">
      <c r="P151" s="974"/>
      <c r="Q151" s="974"/>
      <c r="R151" s="974"/>
      <c r="U151" s="126"/>
      <c r="V151" s="127"/>
    </row>
    <row r="152" spans="16:22" ht="11.25">
      <c r="P152" s="974"/>
      <c r="Q152" s="974"/>
      <c r="R152" s="974"/>
      <c r="U152" s="126"/>
      <c r="V152" s="127"/>
    </row>
    <row r="153" spans="16:22" ht="11.25">
      <c r="P153" s="974"/>
      <c r="Q153" s="974"/>
      <c r="R153" s="974"/>
      <c r="U153" s="126"/>
      <c r="V153" s="127"/>
    </row>
    <row r="154" spans="16:22" ht="11.25">
      <c r="P154" s="974"/>
      <c r="Q154" s="974"/>
      <c r="R154" s="974"/>
      <c r="U154" s="126"/>
      <c r="V154" s="127"/>
    </row>
    <row r="155" spans="16:22" ht="11.25">
      <c r="P155" s="974"/>
      <c r="Q155" s="974"/>
      <c r="R155" s="974"/>
      <c r="U155" s="126"/>
      <c r="V155" s="127"/>
    </row>
    <row r="156" spans="16:22" ht="11.25">
      <c r="P156" s="974"/>
      <c r="Q156" s="974"/>
      <c r="R156" s="974"/>
      <c r="U156" s="126"/>
      <c r="V156" s="127"/>
    </row>
    <row r="157" spans="16:22" ht="11.25">
      <c r="P157" s="974"/>
      <c r="Q157" s="974"/>
      <c r="R157" s="974"/>
      <c r="U157" s="126"/>
      <c r="V157" s="127"/>
    </row>
    <row r="158" spans="16:22" ht="11.25">
      <c r="P158" s="974"/>
      <c r="Q158" s="974"/>
      <c r="R158" s="974"/>
      <c r="U158" s="126"/>
      <c r="V158" s="127"/>
    </row>
    <row r="159" spans="16:22" ht="11.25">
      <c r="P159" s="974"/>
      <c r="Q159" s="974"/>
      <c r="R159" s="974"/>
      <c r="U159" s="126"/>
      <c r="V159" s="127"/>
    </row>
    <row r="160" spans="16:22" ht="11.25">
      <c r="P160" s="974"/>
      <c r="Q160" s="974"/>
      <c r="R160" s="974"/>
      <c r="U160" s="126"/>
      <c r="V160" s="127"/>
    </row>
    <row r="161" spans="16:22" ht="11.25">
      <c r="P161" s="974"/>
      <c r="Q161" s="974"/>
      <c r="R161" s="974"/>
      <c r="U161" s="126"/>
      <c r="V161" s="127"/>
    </row>
    <row r="162" spans="16:22" ht="11.25">
      <c r="P162" s="974"/>
      <c r="Q162" s="974"/>
      <c r="R162" s="974"/>
      <c r="U162" s="126"/>
      <c r="V162" s="127"/>
    </row>
    <row r="163" spans="16:22" ht="11.25">
      <c r="P163" s="974"/>
      <c r="Q163" s="974"/>
      <c r="R163" s="974"/>
      <c r="U163" s="126"/>
      <c r="V163" s="127"/>
    </row>
    <row r="164" spans="16:22" ht="11.25">
      <c r="P164" s="974"/>
      <c r="Q164" s="974"/>
      <c r="R164" s="974"/>
      <c r="U164" s="126"/>
      <c r="V164" s="127"/>
    </row>
    <row r="165" spans="16:22" ht="11.25">
      <c r="P165" s="974"/>
      <c r="Q165" s="974"/>
      <c r="R165" s="974"/>
      <c r="U165" s="126"/>
      <c r="V165" s="127"/>
    </row>
    <row r="166" spans="16:22" ht="11.25">
      <c r="P166" s="974"/>
      <c r="Q166" s="974"/>
      <c r="R166" s="974"/>
      <c r="U166" s="126"/>
      <c r="V166" s="127"/>
    </row>
    <row r="167" spans="16:22" ht="11.25">
      <c r="P167" s="974"/>
      <c r="Q167" s="974"/>
      <c r="R167" s="974"/>
      <c r="U167" s="126"/>
      <c r="V167" s="127"/>
    </row>
    <row r="168" spans="16:22" ht="11.25">
      <c r="P168" s="974"/>
      <c r="Q168" s="974"/>
      <c r="R168" s="974"/>
      <c r="U168" s="126"/>
      <c r="V168" s="127"/>
    </row>
    <row r="169" spans="16:22" ht="11.25">
      <c r="P169" s="974"/>
      <c r="Q169" s="974"/>
      <c r="R169" s="974"/>
      <c r="U169" s="126"/>
      <c r="V169" s="127"/>
    </row>
    <row r="170" spans="16:22" ht="11.25">
      <c r="P170" s="974"/>
      <c r="Q170" s="974"/>
      <c r="R170" s="974"/>
      <c r="U170" s="126"/>
      <c r="V170" s="127"/>
    </row>
    <row r="171" spans="16:22" ht="11.25">
      <c r="P171" s="974"/>
      <c r="Q171" s="974"/>
      <c r="R171" s="974"/>
      <c r="U171" s="126"/>
      <c r="V171" s="127"/>
    </row>
    <row r="172" spans="16:22" ht="11.25">
      <c r="P172" s="974"/>
      <c r="Q172" s="974"/>
      <c r="R172" s="974"/>
      <c r="U172" s="126"/>
      <c r="V172" s="127"/>
    </row>
    <row r="173" spans="16:22" ht="11.25">
      <c r="P173" s="974"/>
      <c r="Q173" s="974"/>
      <c r="R173" s="974"/>
      <c r="U173" s="126"/>
      <c r="V173" s="127"/>
    </row>
    <row r="174" spans="16:22" ht="11.25">
      <c r="P174" s="974"/>
      <c r="Q174" s="974"/>
      <c r="R174" s="974"/>
      <c r="U174" s="126"/>
      <c r="V174" s="127"/>
    </row>
    <row r="175" spans="16:22" ht="11.25">
      <c r="P175" s="974"/>
      <c r="Q175" s="974"/>
      <c r="R175" s="974"/>
      <c r="U175" s="126"/>
      <c r="V175" s="127"/>
    </row>
    <row r="176" spans="16:22" ht="11.25">
      <c r="P176" s="974"/>
      <c r="Q176" s="974"/>
      <c r="R176" s="974"/>
      <c r="U176" s="126"/>
      <c r="V176" s="127"/>
    </row>
    <row r="177" spans="16:22" ht="11.25">
      <c r="P177" s="974"/>
      <c r="Q177" s="974"/>
      <c r="R177" s="974"/>
      <c r="U177" s="126"/>
      <c r="V177" s="127"/>
    </row>
    <row r="178" spans="16:22" ht="11.25">
      <c r="P178" s="974"/>
      <c r="Q178" s="974"/>
      <c r="R178" s="974"/>
      <c r="U178" s="126"/>
      <c r="V178" s="127"/>
    </row>
    <row r="179" spans="16:22" ht="11.25">
      <c r="P179" s="974"/>
      <c r="Q179" s="974"/>
      <c r="R179" s="974"/>
      <c r="U179" s="126"/>
      <c r="V179" s="127"/>
    </row>
    <row r="180" spans="16:22" ht="11.25">
      <c r="P180" s="974"/>
      <c r="Q180" s="974"/>
      <c r="R180" s="974"/>
      <c r="U180" s="126"/>
      <c r="V180" s="127"/>
    </row>
    <row r="181" spans="16:22" ht="11.25">
      <c r="P181" s="974"/>
      <c r="Q181" s="974"/>
      <c r="R181" s="974"/>
      <c r="U181" s="126"/>
      <c r="V181" s="127"/>
    </row>
    <row r="182" spans="16:22" ht="11.25">
      <c r="P182" s="974"/>
      <c r="Q182" s="974"/>
      <c r="R182" s="974"/>
      <c r="U182" s="126"/>
      <c r="V182" s="127"/>
    </row>
    <row r="183" spans="16:22" ht="11.25">
      <c r="P183" s="974"/>
      <c r="Q183" s="974"/>
      <c r="R183" s="974"/>
      <c r="U183" s="126"/>
      <c r="V183" s="127"/>
    </row>
    <row r="184" spans="16:22" ht="11.25">
      <c r="P184" s="974"/>
      <c r="Q184" s="974"/>
      <c r="R184" s="974"/>
      <c r="U184" s="126"/>
      <c r="V184" s="127"/>
    </row>
    <row r="185" spans="16:22" ht="11.25">
      <c r="P185" s="974"/>
      <c r="Q185" s="974"/>
      <c r="R185" s="974"/>
      <c r="U185" s="126"/>
      <c r="V185" s="127"/>
    </row>
    <row r="186" spans="16:22" ht="11.25">
      <c r="P186" s="974"/>
      <c r="Q186" s="974"/>
      <c r="R186" s="974"/>
      <c r="U186" s="126"/>
      <c r="V186" s="127"/>
    </row>
    <row r="187" spans="16:22" ht="11.25">
      <c r="P187" s="974"/>
      <c r="Q187" s="974"/>
      <c r="R187" s="974"/>
      <c r="U187" s="126"/>
      <c r="V187" s="127"/>
    </row>
  </sheetData>
  <mergeCells count="11">
    <mergeCell ref="U4:V4"/>
    <mergeCell ref="W4:X4"/>
    <mergeCell ref="U2:V2"/>
    <mergeCell ref="U3:V3"/>
    <mergeCell ref="W2:X2"/>
    <mergeCell ref="W3:X3"/>
    <mergeCell ref="E2:F2"/>
    <mergeCell ref="K3:M3"/>
    <mergeCell ref="K2:M2"/>
    <mergeCell ref="I2:J2"/>
    <mergeCell ref="G2:H2"/>
  </mergeCells>
  <hyperlinks>
    <hyperlink ref="C9" location="'6000'!A1" display="6000"/>
    <hyperlink ref="C11" location="'6200'!A1" display="6200"/>
    <hyperlink ref="C17" location="'6100'!A1" display="6100"/>
    <hyperlink ref="C18" location="'6300'!A1" display="6300"/>
    <hyperlink ref="C19" location="'6500'!A1" display="6500"/>
    <hyperlink ref="C20" location="'6300-1'!A1" display="6300-1"/>
  </hyperlink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103"/>
  <sheetViews>
    <sheetView workbookViewId="0" topLeftCell="A1">
      <pane xSplit="3" ySplit="6" topLeftCell="D41" activePane="bottomRight" state="frozen"/>
      <selection pane="topLeft" activeCell="G30" sqref="G30"/>
      <selection pane="topRight" activeCell="G30" sqref="G30"/>
      <selection pane="bottomLeft" activeCell="G30" sqref="G30"/>
      <selection pane="bottomRight" activeCell="G30" sqref="G30"/>
    </sheetView>
  </sheetViews>
  <sheetFormatPr defaultColWidth="9.140625" defaultRowHeight="21.75"/>
  <cols>
    <col min="1" max="1" width="10.421875" style="1" customWidth="1"/>
    <col min="2" max="2" width="5.00390625" style="1" customWidth="1"/>
    <col min="3" max="3" width="29.140625" style="1" customWidth="1"/>
    <col min="4" max="4" width="8.00390625" style="5" customWidth="1"/>
    <col min="5" max="5" width="12.140625" style="753" customWidth="1"/>
    <col min="6" max="7" width="12.140625" style="753" hidden="1" customWidth="1"/>
    <col min="8" max="8" width="12.140625" style="5" hidden="1" customWidth="1"/>
    <col min="9" max="9" width="14.140625" style="5" hidden="1" customWidth="1"/>
    <col min="10" max="10" width="14.8515625" style="5" hidden="1" customWidth="1"/>
    <col min="11" max="11" width="13.00390625" style="5" hidden="1" customWidth="1"/>
    <col min="12" max="12" width="7.8515625" style="161" customWidth="1"/>
    <col min="13" max="13" width="10.421875" style="161" customWidth="1"/>
    <col min="14" max="14" width="10.28125" style="161" customWidth="1"/>
    <col min="15" max="15" width="14.140625" style="161" customWidth="1"/>
    <col min="16" max="16" width="12.7109375" style="161" hidden="1" customWidth="1"/>
    <col min="17" max="17" width="12.140625" style="7" customWidth="1"/>
    <col min="18" max="20" width="12.140625" style="7" hidden="1" customWidth="1"/>
    <col min="21" max="21" width="14.7109375" style="7" customWidth="1"/>
    <col min="22" max="22" width="9.140625" style="162" bestFit="1" customWidth="1"/>
    <col min="23" max="23" width="7.57421875" style="1" bestFit="1" customWidth="1"/>
    <col min="24" max="24" width="7.421875" style="1" customWidth="1"/>
    <col min="25" max="25" width="6.57421875" style="1" customWidth="1"/>
    <col min="26" max="26" width="9.140625" style="1" customWidth="1"/>
    <col min="27" max="27" width="9.57421875" style="1" bestFit="1" customWidth="1"/>
    <col min="28" max="16384" width="9.140625" style="1" customWidth="1"/>
  </cols>
  <sheetData>
    <row r="1" spans="1:11" ht="11.25">
      <c r="A1" s="8" t="s">
        <v>485</v>
      </c>
      <c r="B1" s="8"/>
      <c r="C1" s="8"/>
      <c r="D1" s="7"/>
      <c r="H1" s="7"/>
      <c r="I1" s="7"/>
      <c r="J1" s="7"/>
      <c r="K1" s="7"/>
    </row>
    <row r="2" spans="1:25" ht="11.25">
      <c r="A2" s="56"/>
      <c r="B2" s="1723" t="s">
        <v>492</v>
      </c>
      <c r="C2" s="1724"/>
      <c r="D2" s="56"/>
      <c r="E2" s="1055" t="str">
        <f>'6000'!D3</f>
        <v>Quarter 1'08</v>
      </c>
      <c r="F2" s="1713" t="s">
        <v>956</v>
      </c>
      <c r="G2" s="1714"/>
      <c r="H2" s="1715" t="s">
        <v>957</v>
      </c>
      <c r="I2" s="1716"/>
      <c r="J2" s="1715" t="s">
        <v>958</v>
      </c>
      <c r="K2" s="1716"/>
      <c r="L2" s="1690" t="s">
        <v>486</v>
      </c>
      <c r="M2" s="477"/>
      <c r="N2" s="285"/>
      <c r="O2" s="1055" t="str">
        <f>'6000'!H3</f>
        <v>Quarter 1'08</v>
      </c>
      <c r="P2" s="1035"/>
      <c r="Q2" s="368" t="s">
        <v>927</v>
      </c>
      <c r="R2" s="245" t="s">
        <v>927</v>
      </c>
      <c r="S2" s="1476" t="s">
        <v>927</v>
      </c>
      <c r="T2" s="1728" t="s">
        <v>580</v>
      </c>
      <c r="U2" s="1729"/>
      <c r="V2" s="1730" t="s">
        <v>487</v>
      </c>
      <c r="W2" s="1687"/>
      <c r="X2" s="1690" t="s">
        <v>487</v>
      </c>
      <c r="Y2" s="1691"/>
    </row>
    <row r="3" spans="1:25" ht="11.25">
      <c r="A3" s="57" t="s">
        <v>488</v>
      </c>
      <c r="B3" s="1725"/>
      <c r="C3" s="1726"/>
      <c r="D3" s="57"/>
      <c r="E3" s="1067">
        <f>'6000'!D4</f>
        <v>39538</v>
      </c>
      <c r="F3" s="425">
        <v>38898</v>
      </c>
      <c r="G3" s="605">
        <v>38898</v>
      </c>
      <c r="H3" s="69">
        <v>38990</v>
      </c>
      <c r="I3" s="70">
        <v>38990</v>
      </c>
      <c r="J3" s="69">
        <v>39082</v>
      </c>
      <c r="K3" s="70">
        <v>39082</v>
      </c>
      <c r="L3" s="1692" t="s">
        <v>489</v>
      </c>
      <c r="M3" s="1500"/>
      <c r="N3" s="1501"/>
      <c r="O3" s="1067">
        <f>'6000'!H4</f>
        <v>39538</v>
      </c>
      <c r="P3" s="70">
        <v>39082</v>
      </c>
      <c r="Q3" s="1039">
        <f>'6000'!I4</f>
        <v>39172</v>
      </c>
      <c r="R3" s="244">
        <v>38533</v>
      </c>
      <c r="S3" s="1477">
        <v>38625</v>
      </c>
      <c r="T3" s="1478">
        <v>38717</v>
      </c>
      <c r="U3" s="244">
        <f>'6000'!J4</f>
        <v>39447</v>
      </c>
      <c r="V3" s="1712">
        <f>'6000'!K4</f>
        <v>39447</v>
      </c>
      <c r="W3" s="509"/>
      <c r="X3" s="1731">
        <f>'6000'!M4</f>
        <v>39172</v>
      </c>
      <c r="Y3" s="1732"/>
    </row>
    <row r="4" spans="1:25" ht="21.75">
      <c r="A4" s="58" t="s">
        <v>491</v>
      </c>
      <c r="B4" s="1727"/>
      <c r="C4" s="1710"/>
      <c r="D4" s="58" t="s">
        <v>493</v>
      </c>
      <c r="E4" s="1070" t="s">
        <v>869</v>
      </c>
      <c r="F4" s="583" t="s">
        <v>932</v>
      </c>
      <c r="G4" s="583" t="s">
        <v>869</v>
      </c>
      <c r="H4" s="69" t="s">
        <v>933</v>
      </c>
      <c r="I4" s="69" t="s">
        <v>869</v>
      </c>
      <c r="J4" s="69" t="s">
        <v>885</v>
      </c>
      <c r="K4" s="69" t="s">
        <v>869</v>
      </c>
      <c r="L4" s="168" t="s">
        <v>494</v>
      </c>
      <c r="M4" s="169" t="s">
        <v>495</v>
      </c>
      <c r="N4" s="170" t="s">
        <v>496</v>
      </c>
      <c r="O4" s="1068" t="s">
        <v>869</v>
      </c>
      <c r="P4" s="69" t="s">
        <v>869</v>
      </c>
      <c r="Q4" s="78" t="s">
        <v>869</v>
      </c>
      <c r="R4" s="755" t="s">
        <v>932</v>
      </c>
      <c r="S4" s="755" t="s">
        <v>933</v>
      </c>
      <c r="T4" s="1478" t="s">
        <v>885</v>
      </c>
      <c r="U4" s="1478" t="s">
        <v>869</v>
      </c>
      <c r="V4" s="1685" t="s">
        <v>869</v>
      </c>
      <c r="W4" s="1711"/>
      <c r="X4" s="1717" t="s">
        <v>869</v>
      </c>
      <c r="Y4" s="1718"/>
    </row>
    <row r="5" spans="1:25" ht="11.25">
      <c r="A5" s="171"/>
      <c r="B5" s="135"/>
      <c r="C5" s="135"/>
      <c r="D5" s="135"/>
      <c r="E5" s="1058" t="s">
        <v>497</v>
      </c>
      <c r="F5" s="584" t="s">
        <v>497</v>
      </c>
      <c r="G5" s="584" t="s">
        <v>497</v>
      </c>
      <c r="H5" s="169" t="s">
        <v>497</v>
      </c>
      <c r="I5" s="169" t="s">
        <v>497</v>
      </c>
      <c r="J5" s="169" t="s">
        <v>497</v>
      </c>
      <c r="K5" s="169" t="s">
        <v>497</v>
      </c>
      <c r="L5" s="172" t="s">
        <v>498</v>
      </c>
      <c r="M5" s="170" t="s">
        <v>497</v>
      </c>
      <c r="N5" s="170" t="s">
        <v>497</v>
      </c>
      <c r="O5" s="1060" t="s">
        <v>497</v>
      </c>
      <c r="P5" s="169" t="s">
        <v>497</v>
      </c>
      <c r="Q5" s="85" t="s">
        <v>497</v>
      </c>
      <c r="R5" s="756" t="s">
        <v>497</v>
      </c>
      <c r="S5" s="756" t="s">
        <v>497</v>
      </c>
      <c r="T5" s="756" t="s">
        <v>497</v>
      </c>
      <c r="U5" s="756" t="s">
        <v>497</v>
      </c>
      <c r="V5" s="169" t="s">
        <v>499</v>
      </c>
      <c r="W5" s="173" t="s">
        <v>500</v>
      </c>
      <c r="X5" s="77" t="s">
        <v>499</v>
      </c>
      <c r="Y5" s="80" t="s">
        <v>500</v>
      </c>
    </row>
    <row r="6" spans="1:25" ht="11.25">
      <c r="A6" s="174"/>
      <c r="B6" s="757"/>
      <c r="C6" s="174"/>
      <c r="D6" s="11"/>
      <c r="E6" s="758"/>
      <c r="F6" s="758"/>
      <c r="G6" s="759"/>
      <c r="H6" s="11"/>
      <c r="I6" s="11"/>
      <c r="J6" s="11"/>
      <c r="K6" s="11"/>
      <c r="L6" s="1077"/>
      <c r="M6" s="177"/>
      <c r="N6" s="760"/>
      <c r="O6" s="761"/>
      <c r="P6" s="11"/>
      <c r="Q6" s="762"/>
      <c r="R6" s="762"/>
      <c r="S6" s="762"/>
      <c r="T6" s="762"/>
      <c r="U6" s="762"/>
      <c r="V6" s="763"/>
      <c r="W6" s="270"/>
      <c r="X6" s="270"/>
      <c r="Y6" s="270"/>
    </row>
    <row r="7" spans="1:25" ht="11.25">
      <c r="A7" s="271"/>
      <c r="B7" s="764"/>
      <c r="C7" s="230"/>
      <c r="D7" s="225"/>
      <c r="E7" s="765"/>
      <c r="F7" s="766"/>
      <c r="G7" s="765"/>
      <c r="H7" s="767"/>
      <c r="I7" s="767"/>
      <c r="J7" s="767"/>
      <c r="K7" s="767"/>
      <c r="L7" s="784"/>
      <c r="M7" s="474"/>
      <c r="N7" s="769"/>
      <c r="O7" s="770"/>
      <c r="P7" s="771"/>
      <c r="Q7" s="772"/>
      <c r="R7" s="772"/>
      <c r="S7" s="772"/>
      <c r="T7" s="772"/>
      <c r="U7" s="772"/>
      <c r="V7" s="774"/>
      <c r="W7" s="678"/>
      <c r="X7" s="678"/>
      <c r="Y7" s="678"/>
    </row>
    <row r="8" spans="1:25" ht="11.25">
      <c r="A8" s="236"/>
      <c r="B8" s="764" t="s">
        <v>682</v>
      </c>
      <c r="C8" s="230"/>
      <c r="D8" s="271"/>
      <c r="E8" s="775">
        <f>'3400'!J10</f>
        <v>33279277.08</v>
      </c>
      <c r="F8" s="776"/>
      <c r="G8" s="777"/>
      <c r="H8" s="768"/>
      <c r="I8" s="768"/>
      <c r="J8" s="909"/>
      <c r="K8" s="474"/>
      <c r="L8" s="784"/>
      <c r="M8" s="778"/>
      <c r="N8" s="779"/>
      <c r="O8" s="780">
        <f>E8-M8+N8</f>
        <v>33279277.08</v>
      </c>
      <c r="P8" s="781">
        <f>K8-M8+N8</f>
        <v>0</v>
      </c>
      <c r="Q8" s="782">
        <v>32835843.99</v>
      </c>
      <c r="R8" s="782"/>
      <c r="S8" s="782"/>
      <c r="T8" s="782"/>
      <c r="U8" s="782">
        <v>37970581.64</v>
      </c>
      <c r="V8" s="429">
        <f>(O8-U8)/1000</f>
        <v>-4691.304560000002</v>
      </c>
      <c r="W8" s="435">
        <f>V8/U8*1000</f>
        <v>-0.12355103233546363</v>
      </c>
      <c r="X8" s="610">
        <f>(E8-Q8)/1000</f>
        <v>443.4330899999999</v>
      </c>
      <c r="Y8" s="613">
        <f>X8/Q8*1000</f>
        <v>0.01350454369727927</v>
      </c>
    </row>
    <row r="9" spans="1:25" ht="11.25">
      <c r="A9" s="754">
        <v>515110</v>
      </c>
      <c r="B9" s="764" t="s">
        <v>683</v>
      </c>
      <c r="C9" s="230" t="s">
        <v>684</v>
      </c>
      <c r="D9" s="225"/>
      <c r="E9" s="1075">
        <f>VLOOKUP(A9,TB!$A:$E,5,FALSE)</f>
        <v>247538428.5</v>
      </c>
      <c r="F9" s="776"/>
      <c r="G9" s="777"/>
      <c r="H9" s="768"/>
      <c r="I9" s="768"/>
      <c r="J9" s="909"/>
      <c r="K9" s="474"/>
      <c r="L9" s="784"/>
      <c r="M9" s="778"/>
      <c r="N9" s="779"/>
      <c r="O9" s="780">
        <f aca="true" t="shared" si="0" ref="O9:O21">E9-M9+N9</f>
        <v>247538428.5</v>
      </c>
      <c r="P9" s="783">
        <f aca="true" t="shared" si="1" ref="P9:P21">K9-M9+N9</f>
        <v>0</v>
      </c>
      <c r="Q9" s="782">
        <v>211202104.20000002</v>
      </c>
      <c r="R9" s="782"/>
      <c r="S9" s="782"/>
      <c r="T9" s="782"/>
      <c r="U9" s="782">
        <v>231154250.89999998</v>
      </c>
      <c r="V9" s="429">
        <f aca="true" t="shared" si="2" ref="V9:V15">(O9-U9)/1000</f>
        <v>16384.177600000025</v>
      </c>
      <c r="W9" s="435">
        <f>V9/U9*1000</f>
        <v>0.07087984554127023</v>
      </c>
      <c r="X9" s="610">
        <f aca="true" t="shared" si="3" ref="X9:X21">(E9-Q9)/1000</f>
        <v>36336.324299999986</v>
      </c>
      <c r="Y9" s="613">
        <f aca="true" t="shared" si="4" ref="Y9:Y21">X9/Q9*1000</f>
        <v>0.17204527595800337</v>
      </c>
    </row>
    <row r="10" spans="1:25" ht="11.25">
      <c r="A10" s="754">
        <v>515120</v>
      </c>
      <c r="B10" s="764"/>
      <c r="C10" s="230" t="s">
        <v>685</v>
      </c>
      <c r="D10" s="225"/>
      <c r="E10" s="1075">
        <f>VLOOKUP(A10,TB!$A:$E,5,FALSE)</f>
        <v>15586235.05</v>
      </c>
      <c r="F10" s="776"/>
      <c r="G10" s="777"/>
      <c r="H10" s="768"/>
      <c r="I10" s="768"/>
      <c r="J10" s="909"/>
      <c r="K10" s="474"/>
      <c r="L10" s="784"/>
      <c r="M10" s="778"/>
      <c r="N10" s="779"/>
      <c r="O10" s="780">
        <f t="shared" si="0"/>
        <v>15586235.05</v>
      </c>
      <c r="P10" s="783">
        <f t="shared" si="1"/>
        <v>0</v>
      </c>
      <c r="Q10" s="782">
        <v>6541051.18</v>
      </c>
      <c r="R10" s="782"/>
      <c r="S10" s="782"/>
      <c r="T10" s="782"/>
      <c r="U10" s="782">
        <v>11282270.559999999</v>
      </c>
      <c r="V10" s="429">
        <f t="shared" si="2"/>
        <v>4303.964490000002</v>
      </c>
      <c r="W10" s="435">
        <f>V10/U10*1000</f>
        <v>0.38148034716160917</v>
      </c>
      <c r="X10" s="610">
        <f t="shared" si="3"/>
        <v>9045.18387</v>
      </c>
      <c r="Y10" s="613">
        <f t="shared" si="4"/>
        <v>1.3828333735801777</v>
      </c>
    </row>
    <row r="11" spans="1:25" ht="11.25">
      <c r="A11" s="754">
        <v>516120</v>
      </c>
      <c r="B11" s="764"/>
      <c r="C11" s="230" t="s">
        <v>686</v>
      </c>
      <c r="D11" s="225"/>
      <c r="E11" s="1075">
        <f>VLOOKUP(A11,TB!$A:$E,5,FALSE)</f>
        <v>737143.69</v>
      </c>
      <c r="F11" s="776"/>
      <c r="G11" s="777"/>
      <c r="H11" s="768"/>
      <c r="I11" s="768"/>
      <c r="J11" s="909"/>
      <c r="K11" s="474"/>
      <c r="L11" s="784"/>
      <c r="M11" s="778"/>
      <c r="N11" s="779"/>
      <c r="O11" s="780">
        <f t="shared" si="0"/>
        <v>737143.69</v>
      </c>
      <c r="P11" s="783">
        <f t="shared" si="1"/>
        <v>0</v>
      </c>
      <c r="Q11" s="782">
        <v>431709</v>
      </c>
      <c r="R11" s="782"/>
      <c r="S11" s="782"/>
      <c r="T11" s="782"/>
      <c r="U11" s="782">
        <v>503598</v>
      </c>
      <c r="V11" s="429">
        <f t="shared" si="2"/>
        <v>233.54568999999995</v>
      </c>
      <c r="W11" s="435">
        <f>V11/U11*1000</f>
        <v>0.46375420474267165</v>
      </c>
      <c r="X11" s="610">
        <f t="shared" si="3"/>
        <v>305.43468999999993</v>
      </c>
      <c r="Y11" s="613">
        <f t="shared" si="4"/>
        <v>0.7075013261247737</v>
      </c>
    </row>
    <row r="12" spans="1:25" ht="11.25">
      <c r="A12" s="754">
        <v>516130</v>
      </c>
      <c r="B12" s="764"/>
      <c r="C12" s="230" t="s">
        <v>687</v>
      </c>
      <c r="D12" s="225"/>
      <c r="E12" s="1075">
        <f>VLOOKUP(A12,TB!$A:$E,5,FALSE)</f>
        <v>232284.03</v>
      </c>
      <c r="F12" s="776"/>
      <c r="G12" s="777"/>
      <c r="H12" s="768"/>
      <c r="I12" s="768"/>
      <c r="J12" s="909"/>
      <c r="K12" s="474"/>
      <c r="L12" s="784"/>
      <c r="M12" s="778"/>
      <c r="N12" s="779"/>
      <c r="O12" s="780">
        <f t="shared" si="0"/>
        <v>232284.03</v>
      </c>
      <c r="P12" s="783">
        <f t="shared" si="1"/>
        <v>0</v>
      </c>
      <c r="Q12" s="782">
        <v>108536.99</v>
      </c>
      <c r="R12" s="782"/>
      <c r="S12" s="782"/>
      <c r="T12" s="782"/>
      <c r="U12" s="782">
        <v>149739.29</v>
      </c>
      <c r="V12" s="429">
        <f t="shared" si="2"/>
        <v>82.54473999999999</v>
      </c>
      <c r="W12" s="435">
        <f>V12/U12*1000</f>
        <v>0.5512563870177292</v>
      </c>
      <c r="X12" s="610">
        <f t="shared" si="3"/>
        <v>123.74704</v>
      </c>
      <c r="Y12" s="613">
        <f t="shared" si="4"/>
        <v>1.1401370168824472</v>
      </c>
    </row>
    <row r="13" spans="1:25" ht="11.25">
      <c r="A13" s="754">
        <v>516110</v>
      </c>
      <c r="B13" s="764"/>
      <c r="C13" s="230" t="s">
        <v>688</v>
      </c>
      <c r="D13" s="225"/>
      <c r="E13" s="1075">
        <f>VLOOKUP(A13,TB!$A:$E,5,FALSE)</f>
        <v>0</v>
      </c>
      <c r="F13" s="776"/>
      <c r="G13" s="777"/>
      <c r="H13" s="768"/>
      <c r="I13" s="778"/>
      <c r="J13" s="909"/>
      <c r="K13" s="474"/>
      <c r="L13" s="784"/>
      <c r="M13" s="778"/>
      <c r="N13" s="779"/>
      <c r="O13" s="780">
        <f>E13-M13+N13</f>
        <v>0</v>
      </c>
      <c r="P13" s="783">
        <f t="shared" si="1"/>
        <v>0</v>
      </c>
      <c r="Q13" s="782">
        <v>0</v>
      </c>
      <c r="R13" s="782"/>
      <c r="S13" s="782"/>
      <c r="T13" s="782"/>
      <c r="U13" s="782">
        <v>0</v>
      </c>
      <c r="V13" s="429">
        <f t="shared" si="2"/>
        <v>0</v>
      </c>
      <c r="W13" s="435"/>
      <c r="X13" s="610">
        <f>(E13-Q13)/1000</f>
        <v>0</v>
      </c>
      <c r="Y13" s="613"/>
    </row>
    <row r="14" spans="1:25" ht="11.25">
      <c r="A14" s="754">
        <v>517000</v>
      </c>
      <c r="B14" s="764" t="s">
        <v>689</v>
      </c>
      <c r="C14" s="230" t="s">
        <v>690</v>
      </c>
      <c r="D14" s="225"/>
      <c r="E14" s="1075">
        <f>VLOOKUP(A14,TB!$A:$E,5,FALSE)</f>
        <v>0</v>
      </c>
      <c r="F14" s="776"/>
      <c r="G14" s="777"/>
      <c r="H14" s="768"/>
      <c r="I14" s="778"/>
      <c r="J14" s="909"/>
      <c r="K14" s="474"/>
      <c r="L14" s="784"/>
      <c r="M14" s="778"/>
      <c r="N14" s="779"/>
      <c r="O14" s="780">
        <f>E14-M14+N14</f>
        <v>0</v>
      </c>
      <c r="P14" s="783">
        <f t="shared" si="1"/>
        <v>0</v>
      </c>
      <c r="Q14" s="782">
        <v>0</v>
      </c>
      <c r="R14" s="782"/>
      <c r="S14" s="782"/>
      <c r="T14" s="782"/>
      <c r="U14" s="782">
        <v>0</v>
      </c>
      <c r="V14" s="429">
        <f t="shared" si="2"/>
        <v>0</v>
      </c>
      <c r="W14" s="435"/>
      <c r="X14" s="610">
        <f>(E14-Q14)/1000</f>
        <v>0</v>
      </c>
      <c r="Y14" s="613"/>
    </row>
    <row r="15" spans="1:25" ht="11.25">
      <c r="A15" s="754">
        <v>425110</v>
      </c>
      <c r="B15" s="764"/>
      <c r="C15" s="230" t="s">
        <v>691</v>
      </c>
      <c r="D15" s="225"/>
      <c r="E15" s="1277">
        <f>VLOOKUP(A15,TB!$A:$E,5,FALSE)</f>
        <v>0</v>
      </c>
      <c r="F15" s="787"/>
      <c r="G15" s="788"/>
      <c r="H15" s="789"/>
      <c r="I15" s="790"/>
      <c r="J15" s="789"/>
      <c r="K15" s="474"/>
      <c r="L15" s="784"/>
      <c r="M15" s="791"/>
      <c r="N15" s="791"/>
      <c r="O15" s="1040">
        <f>E15-M15+N15</f>
        <v>0</v>
      </c>
      <c r="P15" s="793">
        <f t="shared" si="1"/>
        <v>0</v>
      </c>
      <c r="Q15" s="792">
        <v>-337926.89</v>
      </c>
      <c r="R15" s="792"/>
      <c r="S15" s="792"/>
      <c r="T15" s="792"/>
      <c r="U15" s="792">
        <v>0</v>
      </c>
      <c r="V15" s="923">
        <f t="shared" si="2"/>
        <v>0</v>
      </c>
      <c r="W15" s="924">
        <v>1</v>
      </c>
      <c r="X15" s="980">
        <f>(E15-Q15)/1000</f>
        <v>337.92689</v>
      </c>
      <c r="Y15" s="981">
        <f t="shared" si="4"/>
        <v>-1</v>
      </c>
    </row>
    <row r="16" spans="1:25" ht="11.25">
      <c r="A16" s="754"/>
      <c r="B16" s="764"/>
      <c r="C16" s="230"/>
      <c r="D16" s="225"/>
      <c r="E16" s="776">
        <f>SUM(E8:E15)</f>
        <v>297373368.34999996</v>
      </c>
      <c r="F16" s="776">
        <f aca="true" t="shared" si="5" ref="F16:K16">SUM(F8:F15)</f>
        <v>0</v>
      </c>
      <c r="G16" s="776">
        <f t="shared" si="5"/>
        <v>0</v>
      </c>
      <c r="H16" s="776">
        <f t="shared" si="5"/>
        <v>0</v>
      </c>
      <c r="I16" s="776">
        <f t="shared" si="5"/>
        <v>0</v>
      </c>
      <c r="J16" s="776">
        <f t="shared" si="5"/>
        <v>0</v>
      </c>
      <c r="K16" s="794">
        <f t="shared" si="5"/>
        <v>0</v>
      </c>
      <c r="L16" s="1078"/>
      <c r="M16" s="769"/>
      <c r="N16" s="769"/>
      <c r="O16" s="780">
        <f t="shared" si="0"/>
        <v>297373368.34999996</v>
      </c>
      <c r="P16" s="795">
        <f t="shared" si="1"/>
        <v>0</v>
      </c>
      <c r="Q16" s="782">
        <v>250781318.47000006</v>
      </c>
      <c r="R16" s="529"/>
      <c r="S16" s="529"/>
      <c r="T16" s="529"/>
      <c r="U16" s="782">
        <f>SUM(U8:U15)</f>
        <v>281060440.39</v>
      </c>
      <c r="V16" s="429">
        <f aca="true" t="shared" si="6" ref="V16:V21">(O16-U16)/1000</f>
        <v>16312.927959999979</v>
      </c>
      <c r="W16" s="435">
        <f aca="true" t="shared" si="7" ref="W16:W21">V16/U16*1000</f>
        <v>0.05804064043080602</v>
      </c>
      <c r="X16" s="610">
        <f t="shared" si="3"/>
        <v>46592.049879999904</v>
      </c>
      <c r="Y16" s="613">
        <f t="shared" si="4"/>
        <v>0.18578756250367798</v>
      </c>
    </row>
    <row r="17" spans="1:25" s="4" customFormat="1" ht="11.25">
      <c r="A17" s="796">
        <v>515100</v>
      </c>
      <c r="B17" s="797" t="s">
        <v>689</v>
      </c>
      <c r="C17" s="383" t="s">
        <v>692</v>
      </c>
      <c r="D17" s="796"/>
      <c r="E17" s="1278">
        <f>VLOOKUP(A17,TB!$A:$E,5,FALSE)</f>
        <v>-405321.92</v>
      </c>
      <c r="F17" s="798"/>
      <c r="G17" s="787"/>
      <c r="H17" s="791"/>
      <c r="I17" s="799"/>
      <c r="J17" s="791"/>
      <c r="K17" s="799"/>
      <c r="L17" s="1079"/>
      <c r="M17" s="800"/>
      <c r="N17" s="800"/>
      <c r="O17" s="1040">
        <f t="shared" si="0"/>
        <v>-405321.92</v>
      </c>
      <c r="P17" s="802">
        <f t="shared" si="1"/>
        <v>0</v>
      </c>
      <c r="Q17" s="801">
        <v>-87325</v>
      </c>
      <c r="R17" s="801"/>
      <c r="S17" s="801"/>
      <c r="T17" s="801"/>
      <c r="U17" s="801"/>
      <c r="V17" s="923">
        <f t="shared" si="6"/>
        <v>-405.32192</v>
      </c>
      <c r="W17" s="924"/>
      <c r="X17" s="980">
        <f t="shared" si="3"/>
        <v>-317.99692</v>
      </c>
      <c r="Y17" s="981">
        <f t="shared" si="4"/>
        <v>3.6415335814486114</v>
      </c>
    </row>
    <row r="18" spans="1:25" s="4" customFormat="1" ht="11.25">
      <c r="A18" s="796"/>
      <c r="B18" s="797"/>
      <c r="C18" s="383"/>
      <c r="D18" s="796"/>
      <c r="E18" s="803">
        <f>SUM(E16:E17)</f>
        <v>296968046.42999995</v>
      </c>
      <c r="F18" s="803">
        <f aca="true" t="shared" si="8" ref="F18:K18">SUM(F16:F17)</f>
        <v>0</v>
      </c>
      <c r="G18" s="803">
        <f t="shared" si="8"/>
        <v>0</v>
      </c>
      <c r="H18" s="803">
        <f t="shared" si="8"/>
        <v>0</v>
      </c>
      <c r="I18" s="803">
        <f t="shared" si="8"/>
        <v>0</v>
      </c>
      <c r="J18" s="803">
        <f t="shared" si="8"/>
        <v>0</v>
      </c>
      <c r="K18" s="803">
        <f t="shared" si="8"/>
        <v>0</v>
      </c>
      <c r="L18" s="1080"/>
      <c r="M18" s="806"/>
      <c r="N18" s="806"/>
      <c r="O18" s="780">
        <f t="shared" si="0"/>
        <v>296968046.42999995</v>
      </c>
      <c r="P18" s="807">
        <f t="shared" si="1"/>
        <v>0</v>
      </c>
      <c r="Q18" s="808">
        <v>250693993.47000006</v>
      </c>
      <c r="R18" s="808"/>
      <c r="S18" s="808"/>
      <c r="T18" s="808"/>
      <c r="U18" s="808">
        <f>SUM(U16:U17)</f>
        <v>281060440.39</v>
      </c>
      <c r="V18" s="429">
        <f t="shared" si="6"/>
        <v>15907.606039999962</v>
      </c>
      <c r="W18" s="435">
        <f t="shared" si="7"/>
        <v>0.05659852385460771</v>
      </c>
      <c r="X18" s="610">
        <f t="shared" si="3"/>
        <v>46274.05295999989</v>
      </c>
      <c r="Y18" s="613">
        <f t="shared" si="4"/>
        <v>0.18458381199921886</v>
      </c>
    </row>
    <row r="19" spans="1:25" s="4" customFormat="1" ht="11.25">
      <c r="A19" s="796"/>
      <c r="B19" s="797" t="s">
        <v>689</v>
      </c>
      <c r="C19" s="383" t="s">
        <v>948</v>
      </c>
      <c r="D19" s="796"/>
      <c r="E19" s="809"/>
      <c r="F19" s="809"/>
      <c r="G19" s="809"/>
      <c r="H19" s="800"/>
      <c r="I19" s="810"/>
      <c r="J19" s="799"/>
      <c r="K19" s="1475"/>
      <c r="L19" s="1080"/>
      <c r="M19" s="800"/>
      <c r="N19" s="800"/>
      <c r="O19" s="1040">
        <f>E19-M19+N19</f>
        <v>0</v>
      </c>
      <c r="P19" s="812">
        <f t="shared" si="1"/>
        <v>0</v>
      </c>
      <c r="Q19" s="810">
        <v>0</v>
      </c>
      <c r="R19" s="810"/>
      <c r="S19" s="810"/>
      <c r="T19" s="810"/>
      <c r="U19" s="810">
        <v>-78550</v>
      </c>
      <c r="V19" s="923">
        <f t="shared" si="6"/>
        <v>78.55</v>
      </c>
      <c r="W19" s="924">
        <f t="shared" si="7"/>
        <v>-1</v>
      </c>
      <c r="X19" s="980">
        <f t="shared" si="3"/>
        <v>0</v>
      </c>
      <c r="Y19" s="981" t="e">
        <f t="shared" si="4"/>
        <v>#DIV/0!</v>
      </c>
    </row>
    <row r="20" spans="1:25" s="4" customFormat="1" ht="11.25">
      <c r="A20" s="796"/>
      <c r="B20" s="797"/>
      <c r="C20" s="383"/>
      <c r="D20" s="796"/>
      <c r="E20" s="803">
        <f>SUM(E18:E19)</f>
        <v>296968046.42999995</v>
      </c>
      <c r="F20" s="803">
        <f aca="true" t="shared" si="9" ref="F20:K20">SUM(F18:F19)</f>
        <v>0</v>
      </c>
      <c r="G20" s="803">
        <f t="shared" si="9"/>
        <v>0</v>
      </c>
      <c r="H20" s="803">
        <f t="shared" si="9"/>
        <v>0</v>
      </c>
      <c r="I20" s="803">
        <f t="shared" si="9"/>
        <v>0</v>
      </c>
      <c r="J20" s="803">
        <f t="shared" si="9"/>
        <v>0</v>
      </c>
      <c r="K20" s="803">
        <f t="shared" si="9"/>
        <v>0</v>
      </c>
      <c r="L20" s="806"/>
      <c r="M20" s="804">
        <f>SUM(M18:M19)</f>
        <v>0</v>
      </c>
      <c r="N20" s="806">
        <f>SUM(N18:N19)</f>
        <v>0</v>
      </c>
      <c r="O20" s="780">
        <f t="shared" si="0"/>
        <v>296968046.42999995</v>
      </c>
      <c r="P20" s="804">
        <f t="shared" si="1"/>
        <v>0</v>
      </c>
      <c r="Q20" s="808">
        <v>250693993.47000006</v>
      </c>
      <c r="R20" s="808"/>
      <c r="S20" s="808"/>
      <c r="T20" s="808"/>
      <c r="U20" s="808">
        <f>SUM(U18:U19)</f>
        <v>280981890.39</v>
      </c>
      <c r="V20" s="429">
        <f t="shared" si="6"/>
        <v>15986.156039999962</v>
      </c>
      <c r="W20" s="435">
        <f t="shared" si="7"/>
        <v>0.056893901659681126</v>
      </c>
      <c r="X20" s="610">
        <f t="shared" si="3"/>
        <v>46274.05295999989</v>
      </c>
      <c r="Y20" s="613">
        <f t="shared" si="4"/>
        <v>0.18458381199921886</v>
      </c>
    </row>
    <row r="21" spans="1:25" s="4" customFormat="1" ht="11.25">
      <c r="A21" s="796"/>
      <c r="B21" s="797" t="s">
        <v>689</v>
      </c>
      <c r="C21" s="383" t="s">
        <v>693</v>
      </c>
      <c r="D21" s="796"/>
      <c r="E21" s="813">
        <f>-'3400'!D10</f>
        <v>-40053137.49</v>
      </c>
      <c r="F21" s="809"/>
      <c r="G21" s="809"/>
      <c r="H21" s="800"/>
      <c r="I21" s="814"/>
      <c r="J21" s="814"/>
      <c r="K21" s="811"/>
      <c r="L21" s="1079"/>
      <c r="M21" s="800"/>
      <c r="N21" s="800"/>
      <c r="O21" s="1040">
        <f t="shared" si="0"/>
        <v>-40053137.49</v>
      </c>
      <c r="P21" s="812">
        <f t="shared" si="1"/>
        <v>0</v>
      </c>
      <c r="Q21" s="810">
        <v>-30645432.630000003</v>
      </c>
      <c r="R21" s="810"/>
      <c r="S21" s="810"/>
      <c r="T21" s="810"/>
      <c r="U21" s="810">
        <v>-33279277.08</v>
      </c>
      <c r="V21" s="923">
        <f t="shared" si="6"/>
        <v>-6773.860410000004</v>
      </c>
      <c r="W21" s="924">
        <f t="shared" si="7"/>
        <v>0.2035459001623242</v>
      </c>
      <c r="X21" s="980">
        <f t="shared" si="3"/>
        <v>-9407.70486</v>
      </c>
      <c r="Y21" s="981">
        <f t="shared" si="4"/>
        <v>0.30698554572828685</v>
      </c>
    </row>
    <row r="22" spans="1:25" s="4" customFormat="1" ht="11.25">
      <c r="A22" s="796"/>
      <c r="B22" s="797"/>
      <c r="C22" s="815"/>
      <c r="D22" s="816"/>
      <c r="E22" s="817"/>
      <c r="F22" s="818"/>
      <c r="G22" s="819"/>
      <c r="H22" s="820"/>
      <c r="I22" s="820"/>
      <c r="J22" s="820"/>
      <c r="K22" s="820"/>
      <c r="L22" s="1080"/>
      <c r="M22" s="821"/>
      <c r="N22" s="822"/>
      <c r="O22" s="823"/>
      <c r="P22" s="824"/>
      <c r="Q22" s="825"/>
      <c r="R22" s="825"/>
      <c r="S22" s="825"/>
      <c r="T22" s="825"/>
      <c r="U22" s="825"/>
      <c r="V22" s="785"/>
      <c r="W22" s="786"/>
      <c r="X22" s="786"/>
      <c r="Y22" s="786"/>
    </row>
    <row r="23" spans="1:25" s="4" customFormat="1" ht="11.25">
      <c r="A23" s="796"/>
      <c r="B23" s="797"/>
      <c r="C23" s="383"/>
      <c r="D23" s="796"/>
      <c r="E23" s="826"/>
      <c r="F23" s="765"/>
      <c r="G23" s="827"/>
      <c r="H23" s="828"/>
      <c r="I23" s="828"/>
      <c r="J23" s="828"/>
      <c r="K23" s="828"/>
      <c r="L23" s="1080"/>
      <c r="M23" s="821"/>
      <c r="N23" s="822"/>
      <c r="O23" s="829"/>
      <c r="P23" s="830"/>
      <c r="Q23" s="831"/>
      <c r="R23" s="831"/>
      <c r="S23" s="831"/>
      <c r="T23" s="831"/>
      <c r="U23" s="831"/>
      <c r="V23" s="785"/>
      <c r="W23" s="786"/>
      <c r="X23" s="786"/>
      <c r="Y23" s="786"/>
    </row>
    <row r="24" spans="1:25" s="4" customFormat="1" ht="11.25">
      <c r="A24" s="796"/>
      <c r="B24" s="832" t="s">
        <v>694</v>
      </c>
      <c r="C24" s="383"/>
      <c r="D24" s="796"/>
      <c r="E24" s="833">
        <f>SUM(E20:E21)</f>
        <v>256914908.93999994</v>
      </c>
      <c r="F24" s="833">
        <f aca="true" t="shared" si="10" ref="F24:K24">SUM(F20:F21)</f>
        <v>0</v>
      </c>
      <c r="G24" s="833">
        <f t="shared" si="10"/>
        <v>0</v>
      </c>
      <c r="H24" s="833">
        <f t="shared" si="10"/>
        <v>0</v>
      </c>
      <c r="I24" s="833">
        <f t="shared" si="10"/>
        <v>0</v>
      </c>
      <c r="J24" s="833">
        <f t="shared" si="10"/>
        <v>0</v>
      </c>
      <c r="K24" s="833">
        <f t="shared" si="10"/>
        <v>0</v>
      </c>
      <c r="L24" s="834"/>
      <c r="M24" s="834">
        <f>SUM(M20:M21)</f>
        <v>0</v>
      </c>
      <c r="N24" s="835">
        <f>SUM(N20:N21)</f>
        <v>0</v>
      </c>
      <c r="O24" s="834">
        <f>SUM(O20:O21)</f>
        <v>256914908.93999994</v>
      </c>
      <c r="P24" s="834">
        <f>SUM(P20:P21)</f>
        <v>0</v>
      </c>
      <c r="Q24" s="836">
        <v>220048560.84000006</v>
      </c>
      <c r="R24" s="836"/>
      <c r="S24" s="836"/>
      <c r="T24" s="836"/>
      <c r="U24" s="836">
        <f>SUM(U20:U21)</f>
        <v>247702613.31</v>
      </c>
      <c r="V24" s="429">
        <f>(O24-U24)/1000</f>
        <v>9212.295629999935</v>
      </c>
      <c r="W24" s="435">
        <f>V24/U24*1000</f>
        <v>0.037190950498655985</v>
      </c>
      <c r="X24" s="610">
        <f>(E24-Q24)/1000</f>
        <v>36866.34809999987</v>
      </c>
      <c r="Y24" s="613">
        <f>X24/Q24*1000</f>
        <v>0.16753732884808928</v>
      </c>
    </row>
    <row r="25" spans="1:28" s="4" customFormat="1" ht="11.25">
      <c r="A25" s="796"/>
      <c r="B25" s="797"/>
      <c r="C25" s="383"/>
      <c r="D25" s="796"/>
      <c r="E25" s="826"/>
      <c r="F25" s="765"/>
      <c r="G25" s="827"/>
      <c r="H25" s="828"/>
      <c r="I25" s="828"/>
      <c r="J25" s="828"/>
      <c r="K25" s="828"/>
      <c r="L25" s="805"/>
      <c r="M25" s="821"/>
      <c r="N25" s="822"/>
      <c r="O25" s="829"/>
      <c r="P25" s="830"/>
      <c r="Q25" s="831"/>
      <c r="R25" s="831"/>
      <c r="S25" s="831"/>
      <c r="T25" s="831"/>
      <c r="U25" s="831">
        <v>0</v>
      </c>
      <c r="V25" s="785"/>
      <c r="W25" s="786"/>
      <c r="X25" s="786"/>
      <c r="Y25" s="786"/>
      <c r="AA25" s="934"/>
      <c r="AB25" s="934"/>
    </row>
    <row r="26" spans="1:28" s="4" customFormat="1" ht="11.25">
      <c r="A26" s="796">
        <v>525000</v>
      </c>
      <c r="B26" s="832" t="s">
        <v>1106</v>
      </c>
      <c r="C26" s="383"/>
      <c r="D26" s="796"/>
      <c r="E26" s="1075">
        <f>VLOOKUP(A26,TB!$A:$E,5,FALSE)</f>
        <v>5190209.75</v>
      </c>
      <c r="F26" s="837"/>
      <c r="G26" s="777"/>
      <c r="H26" s="768"/>
      <c r="I26" s="768"/>
      <c r="J26" s="921"/>
      <c r="K26" s="474"/>
      <c r="L26" s="839"/>
      <c r="M26" s="838"/>
      <c r="N26" s="840"/>
      <c r="O26" s="1041">
        <f>E26-M26+N26</f>
        <v>5190209.75</v>
      </c>
      <c r="P26" s="841">
        <f aca="true" t="shared" si="11" ref="P26:P32">K26-M26+N26</f>
        <v>0</v>
      </c>
      <c r="Q26" s="842">
        <v>5185637.5</v>
      </c>
      <c r="R26" s="842"/>
      <c r="S26" s="842"/>
      <c r="T26" s="842"/>
      <c r="U26" s="842">
        <v>4841501.5</v>
      </c>
      <c r="V26" s="429">
        <f aca="true" t="shared" si="12" ref="V26:V33">(O26-U26)/1000</f>
        <v>348.70825</v>
      </c>
      <c r="W26" s="435">
        <f>V26/U26*1000</f>
        <v>0.07202481502897397</v>
      </c>
      <c r="X26" s="610">
        <f>(E26-Q26)/1000</f>
        <v>4.57225</v>
      </c>
      <c r="Y26" s="613">
        <f>X26/Q26*1000</f>
        <v>0.0008817141576132154</v>
      </c>
      <c r="AA26" s="356"/>
      <c r="AB26" s="356"/>
    </row>
    <row r="27" spans="1:28" s="4" customFormat="1" ht="11.25">
      <c r="A27" s="796">
        <v>525120</v>
      </c>
      <c r="B27" s="832" t="s">
        <v>946</v>
      </c>
      <c r="C27" s="383"/>
      <c r="D27" s="796"/>
      <c r="E27" s="1075">
        <f>VLOOKUP(A27,TB!$A:$E,5,FALSE)</f>
        <v>1838017</v>
      </c>
      <c r="F27" s="837"/>
      <c r="G27" s="777"/>
      <c r="H27" s="768"/>
      <c r="I27" s="768"/>
      <c r="J27" s="921"/>
      <c r="K27" s="474"/>
      <c r="L27" s="839"/>
      <c r="M27" s="838"/>
      <c r="N27" s="840"/>
      <c r="O27" s="1041">
        <f>E27-M27+N27</f>
        <v>1838017</v>
      </c>
      <c r="P27" s="841">
        <f t="shared" si="11"/>
        <v>0</v>
      </c>
      <c r="Q27" s="842">
        <v>1436491.25</v>
      </c>
      <c r="R27" s="842"/>
      <c r="S27" s="842"/>
      <c r="T27" s="842"/>
      <c r="U27" s="842">
        <v>1491837.83</v>
      </c>
      <c r="V27" s="429">
        <f t="shared" si="12"/>
        <v>346.17916999999994</v>
      </c>
      <c r="W27" s="435">
        <f aca="true" t="shared" si="13" ref="W27:W33">V27/U27*1000</f>
        <v>0.2320487944725198</v>
      </c>
      <c r="X27" s="610">
        <f>(E27-Q27)/1000</f>
        <v>401.52575</v>
      </c>
      <c r="Y27" s="613">
        <f>X27/Q27*1000</f>
        <v>0.27951840987545173</v>
      </c>
      <c r="AA27" s="356"/>
      <c r="AB27" s="356"/>
    </row>
    <row r="28" spans="1:29" ht="11.25">
      <c r="A28" s="754">
        <v>525001</v>
      </c>
      <c r="B28" s="843" t="s">
        <v>1107</v>
      </c>
      <c r="C28" s="230"/>
      <c r="D28" s="225"/>
      <c r="E28" s="1075">
        <f>VLOOKUP(A28,TB!$A:$E,5,FALSE)</f>
        <v>1224445.3800000001</v>
      </c>
      <c r="F28" s="844"/>
      <c r="G28" s="777"/>
      <c r="H28" s="768"/>
      <c r="I28" s="768"/>
      <c r="J28" s="921"/>
      <c r="K28" s="474"/>
      <c r="L28" s="768"/>
      <c r="M28" s="778"/>
      <c r="N28" s="779"/>
      <c r="O28" s="1041">
        <f>E28-M28+N28</f>
        <v>1224445.3800000001</v>
      </c>
      <c r="P28" s="845">
        <f t="shared" si="11"/>
        <v>0</v>
      </c>
      <c r="Q28" s="846">
        <v>1582898.72</v>
      </c>
      <c r="R28" s="846"/>
      <c r="S28" s="846"/>
      <c r="T28" s="846"/>
      <c r="U28" s="846">
        <v>1092330.64</v>
      </c>
      <c r="V28" s="429">
        <f t="shared" si="12"/>
        <v>132.1147400000002</v>
      </c>
      <c r="W28" s="435">
        <f t="shared" si="13"/>
        <v>0.12094757316337865</v>
      </c>
      <c r="X28" s="610">
        <f>(E28-Q28)/1000</f>
        <v>-358.45333999999986</v>
      </c>
      <c r="Y28" s="613">
        <f>X28/Q28*1000</f>
        <v>-0.22645374304175309</v>
      </c>
      <c r="AA28" s="933"/>
      <c r="AB28" s="933"/>
      <c r="AC28" s="933"/>
    </row>
    <row r="29" spans="1:25" ht="11.25">
      <c r="A29" s="754">
        <v>525121</v>
      </c>
      <c r="B29" s="910" t="s">
        <v>581</v>
      </c>
      <c r="C29" s="230"/>
      <c r="D29" s="225"/>
      <c r="E29" s="1075">
        <f>VLOOKUP(A29,TB!$A:$E,5,FALSE)</f>
        <v>424259.13</v>
      </c>
      <c r="F29" s="768">
        <f>'[10]PL'!W57</f>
        <v>0</v>
      </c>
      <c r="G29" s="768"/>
      <c r="H29" s="778"/>
      <c r="I29" s="779"/>
      <c r="J29" s="154">
        <f>E29+H29-I29</f>
        <v>424259.13</v>
      </c>
      <c r="K29" s="487">
        <f>F29+H29-I29</f>
        <v>0</v>
      </c>
      <c r="L29" s="1105"/>
      <c r="M29" s="1106"/>
      <c r="N29" s="544"/>
      <c r="O29" s="1107"/>
      <c r="P29" s="544">
        <f>(K29-M29)/1000</f>
        <v>0</v>
      </c>
      <c r="Q29" s="1108">
        <v>0</v>
      </c>
      <c r="R29" s="1"/>
      <c r="S29" s="1"/>
      <c r="T29" s="1"/>
      <c r="U29" s="1049">
        <v>323665.64</v>
      </c>
      <c r="V29" s="429">
        <f t="shared" si="12"/>
        <v>-323.66564</v>
      </c>
      <c r="W29" s="435">
        <f t="shared" si="13"/>
        <v>-1</v>
      </c>
      <c r="X29" s="610">
        <f>(E29-Q29)/1000</f>
        <v>424.25913</v>
      </c>
      <c r="Y29" s="613" t="e">
        <f>X29/Q29*1000</f>
        <v>#DIV/0!</v>
      </c>
    </row>
    <row r="30" spans="1:29" ht="11.25">
      <c r="A30" s="225"/>
      <c r="B30" s="336" t="s">
        <v>695</v>
      </c>
      <c r="C30" s="230"/>
      <c r="D30" s="225"/>
      <c r="E30" s="847"/>
      <c r="F30" s="848"/>
      <c r="G30" s="777"/>
      <c r="H30" s="768"/>
      <c r="I30" s="773"/>
      <c r="J30" s="828"/>
      <c r="K30" s="474"/>
      <c r="L30" s="768"/>
      <c r="M30" s="778"/>
      <c r="N30" s="779"/>
      <c r="O30" s="849"/>
      <c r="P30" s="850"/>
      <c r="Q30" s="851"/>
      <c r="R30" s="851"/>
      <c r="S30" s="851"/>
      <c r="T30" s="851"/>
      <c r="U30" s="851"/>
      <c r="V30" s="429">
        <f t="shared" si="12"/>
        <v>0</v>
      </c>
      <c r="W30" s="435"/>
      <c r="X30" s="429"/>
      <c r="Y30" s="435"/>
      <c r="AC30" s="889"/>
    </row>
    <row r="31" spans="1:28" ht="11.25">
      <c r="A31" s="230"/>
      <c r="B31" s="764"/>
      <c r="C31" s="852" t="s">
        <v>696</v>
      </c>
      <c r="D31" s="853" t="s">
        <v>876</v>
      </c>
      <c r="E31" s="854">
        <f>'6100-1'!D34</f>
        <v>17571799.82</v>
      </c>
      <c r="F31" s="854"/>
      <c r="G31" s="777"/>
      <c r="H31" s="768"/>
      <c r="I31" s="855"/>
      <c r="J31" s="922"/>
      <c r="K31" s="474"/>
      <c r="L31" s="768"/>
      <c r="M31" s="778"/>
      <c r="N31" s="779"/>
      <c r="O31" s="769">
        <f>E31+M31-N31</f>
        <v>17571799.82</v>
      </c>
      <c r="P31" s="795">
        <f t="shared" si="11"/>
        <v>0</v>
      </c>
      <c r="Q31" s="529">
        <v>17563880.820000004</v>
      </c>
      <c r="R31" s="529"/>
      <c r="S31" s="529"/>
      <c r="T31" s="529"/>
      <c r="U31" s="529">
        <v>13214635.84</v>
      </c>
      <c r="V31" s="429">
        <f t="shared" si="12"/>
        <v>4357.16398</v>
      </c>
      <c r="W31" s="435">
        <f t="shared" si="13"/>
        <v>0.3297225918864216</v>
      </c>
      <c r="X31" s="610">
        <f>(E31-Q31)/1000</f>
        <v>7.918999999996275</v>
      </c>
      <c r="Y31" s="613">
        <f>X31/Q31*1000</f>
        <v>0.0004508684658676859</v>
      </c>
      <c r="AA31" s="933"/>
      <c r="AB31" s="889"/>
    </row>
    <row r="32" spans="1:29" ht="11.25">
      <c r="A32" s="230"/>
      <c r="B32" s="764"/>
      <c r="C32" s="852" t="s">
        <v>697</v>
      </c>
      <c r="D32" s="853" t="s">
        <v>876</v>
      </c>
      <c r="E32" s="854">
        <f>'6100-1'!D50</f>
        <v>46655174.309999995</v>
      </c>
      <c r="F32" s="854"/>
      <c r="G32" s="777"/>
      <c r="H32" s="768"/>
      <c r="I32" s="474"/>
      <c r="J32" s="922"/>
      <c r="K32" s="474"/>
      <c r="L32" s="768"/>
      <c r="M32" s="778"/>
      <c r="N32" s="779"/>
      <c r="O32" s="769">
        <f>E32+M32-N32</f>
        <v>46655174.309999995</v>
      </c>
      <c r="P32" s="795">
        <f t="shared" si="11"/>
        <v>0</v>
      </c>
      <c r="Q32" s="529">
        <v>40250424.769999996</v>
      </c>
      <c r="R32" s="529"/>
      <c r="S32" s="529"/>
      <c r="T32" s="529"/>
      <c r="U32" s="529">
        <v>43054763.21</v>
      </c>
      <c r="V32" s="429">
        <f t="shared" si="12"/>
        <v>3600.411099999994</v>
      </c>
      <c r="W32" s="435">
        <f t="shared" si="13"/>
        <v>0.0836239902758019</v>
      </c>
      <c r="X32" s="610">
        <f>(E32-Q32)/1000</f>
        <v>6404.749539999999</v>
      </c>
      <c r="Y32" s="613">
        <f>X32/Q32*1000</f>
        <v>0.15912253290737136</v>
      </c>
      <c r="AB32" s="933"/>
      <c r="AC32" s="889"/>
    </row>
    <row r="33" spans="1:25" ht="11.25">
      <c r="A33" s="230"/>
      <c r="B33" s="843" t="s">
        <v>698</v>
      </c>
      <c r="C33" s="230"/>
      <c r="D33" s="225"/>
      <c r="E33" s="856">
        <f>SUM(E31:E32)</f>
        <v>64226974.129999995</v>
      </c>
      <c r="F33" s="856">
        <f aca="true" t="shared" si="14" ref="F33:K33">SUM(F31:F32)</f>
        <v>0</v>
      </c>
      <c r="G33" s="856">
        <f t="shared" si="14"/>
        <v>0</v>
      </c>
      <c r="H33" s="856">
        <f t="shared" si="14"/>
        <v>0</v>
      </c>
      <c r="I33" s="856">
        <f t="shared" si="14"/>
        <v>0</v>
      </c>
      <c r="J33" s="857">
        <f t="shared" si="14"/>
        <v>0</v>
      </c>
      <c r="K33" s="857">
        <f t="shared" si="14"/>
        <v>0</v>
      </c>
      <c r="L33" s="858"/>
      <c r="M33" s="453">
        <f>SUM(M26:M32)</f>
        <v>0</v>
      </c>
      <c r="N33" s="453">
        <f>SUM(N26:N32)</f>
        <v>0</v>
      </c>
      <c r="O33" s="453">
        <f>SUM(O31:O32)</f>
        <v>64226974.129999995</v>
      </c>
      <c r="P33" s="859">
        <f>SUM(P31:P32)</f>
        <v>0</v>
      </c>
      <c r="Q33" s="455">
        <v>57814305.59</v>
      </c>
      <c r="R33" s="455"/>
      <c r="S33" s="455"/>
      <c r="T33" s="455"/>
      <c r="U33" s="455">
        <f>SUM(U31:U32)</f>
        <v>56269399.05</v>
      </c>
      <c r="V33" s="923">
        <f t="shared" si="12"/>
        <v>7957.575079999998</v>
      </c>
      <c r="W33" s="924">
        <f t="shared" si="13"/>
        <v>0.1414192298895717</v>
      </c>
      <c r="X33" s="980">
        <f>(E33-Q33)/1000</f>
        <v>6412.6685399999915</v>
      </c>
      <c r="Y33" s="981">
        <f>X33/Q33*1000</f>
        <v>0.11091837002205861</v>
      </c>
    </row>
    <row r="34" spans="1:25" ht="11.25">
      <c r="A34" s="230"/>
      <c r="B34" s="764"/>
      <c r="C34" s="230"/>
      <c r="D34" s="225"/>
      <c r="E34" s="847"/>
      <c r="F34" s="848"/>
      <c r="G34" s="860"/>
      <c r="H34" s="773"/>
      <c r="I34" s="773"/>
      <c r="J34" s="773"/>
      <c r="K34" s="773"/>
      <c r="L34" s="768"/>
      <c r="M34" s="778"/>
      <c r="N34" s="779"/>
      <c r="O34" s="849"/>
      <c r="P34" s="850"/>
      <c r="Q34" s="851"/>
      <c r="R34" s="851"/>
      <c r="S34" s="851"/>
      <c r="T34" s="851"/>
      <c r="U34" s="851">
        <v>0</v>
      </c>
      <c r="V34" s="785"/>
      <c r="W34" s="786"/>
      <c r="X34" s="786"/>
      <c r="Y34" s="786"/>
    </row>
    <row r="35" spans="1:25" ht="11.25">
      <c r="A35" s="230"/>
      <c r="B35" s="843" t="s">
        <v>699</v>
      </c>
      <c r="C35" s="230"/>
      <c r="D35" s="225"/>
      <c r="E35" s="861">
        <f>SUM(E24,E26:E29,E33)</f>
        <v>329818814.3299999</v>
      </c>
      <c r="F35" s="861">
        <f aca="true" t="shared" si="15" ref="F35:K35">SUM(F24:F32)</f>
        <v>0</v>
      </c>
      <c r="G35" s="861">
        <f t="shared" si="15"/>
        <v>0</v>
      </c>
      <c r="H35" s="861">
        <f t="shared" si="15"/>
        <v>0</v>
      </c>
      <c r="I35" s="861">
        <f t="shared" si="15"/>
        <v>0</v>
      </c>
      <c r="J35" s="861">
        <f t="shared" si="15"/>
        <v>424259.13</v>
      </c>
      <c r="K35" s="861">
        <f t="shared" si="15"/>
        <v>0</v>
      </c>
      <c r="L35" s="768"/>
      <c r="M35" s="862"/>
      <c r="N35" s="862"/>
      <c r="O35" s="862">
        <f>E35+M35-N35</f>
        <v>329818814.3299999</v>
      </c>
      <c r="P35" s="863">
        <f>K35-M35+N35</f>
        <v>0</v>
      </c>
      <c r="Q35" s="864">
        <v>286067893.90000004</v>
      </c>
      <c r="R35" s="864"/>
      <c r="S35" s="864"/>
      <c r="T35" s="864"/>
      <c r="U35" s="864">
        <f>SUM(U24:U32)</f>
        <v>311721347.96999997</v>
      </c>
      <c r="V35" s="429">
        <f>(O35-U35)/1000</f>
        <v>18097.466359999955</v>
      </c>
      <c r="W35" s="435">
        <f>V35/U35*1000</f>
        <v>0.058056551076321065</v>
      </c>
      <c r="X35" s="610">
        <f>(E35-Q35)/1000</f>
        <v>43750.92042999989</v>
      </c>
      <c r="Y35" s="613">
        <f>X35/Q35*1000</f>
        <v>0.1529389398912895</v>
      </c>
    </row>
    <row r="36" spans="1:25" ht="11.25">
      <c r="A36" s="230"/>
      <c r="B36" s="764"/>
      <c r="C36" s="230"/>
      <c r="D36" s="225"/>
      <c r="E36" s="847"/>
      <c r="F36" s="848"/>
      <c r="G36" s="860"/>
      <c r="H36" s="773"/>
      <c r="I36" s="773"/>
      <c r="J36" s="773"/>
      <c r="K36" s="773"/>
      <c r="L36" s="768"/>
      <c r="M36" s="778"/>
      <c r="N36" s="779"/>
      <c r="O36" s="849"/>
      <c r="P36" s="850"/>
      <c r="Q36" s="851"/>
      <c r="R36" s="851"/>
      <c r="S36" s="851"/>
      <c r="T36" s="851"/>
      <c r="U36" s="851">
        <v>0</v>
      </c>
      <c r="V36" s="429"/>
      <c r="W36" s="435"/>
      <c r="X36" s="610"/>
      <c r="Y36" s="613"/>
    </row>
    <row r="37" spans="1:25" ht="11.25">
      <c r="A37" s="230"/>
      <c r="B37" s="764" t="s">
        <v>700</v>
      </c>
      <c r="C37" s="230" t="s">
        <v>701</v>
      </c>
      <c r="D37" s="225"/>
      <c r="E37" s="776"/>
      <c r="F37" s="787">
        <v>0</v>
      </c>
      <c r="G37" s="787">
        <v>0</v>
      </c>
      <c r="H37" s="791">
        <v>0</v>
      </c>
      <c r="I37" s="791"/>
      <c r="J37" s="791"/>
      <c r="K37" s="791"/>
      <c r="L37" s="789"/>
      <c r="M37" s="778"/>
      <c r="N37" s="779"/>
      <c r="O37" s="779">
        <v>0</v>
      </c>
      <c r="P37" s="783"/>
      <c r="Q37" s="782">
        <v>0</v>
      </c>
      <c r="R37" s="782"/>
      <c r="S37" s="782"/>
      <c r="T37" s="782"/>
      <c r="U37" s="782">
        <v>0</v>
      </c>
      <c r="V37" s="923">
        <f>(O37-U37)/1000</f>
        <v>0</v>
      </c>
      <c r="W37" s="924"/>
      <c r="X37" s="980">
        <f>(E37-Q37)/1000</f>
        <v>0</v>
      </c>
      <c r="Y37" s="981"/>
    </row>
    <row r="38" spans="1:25" ht="11.25">
      <c r="A38" s="230"/>
      <c r="B38" s="764"/>
      <c r="C38" s="230"/>
      <c r="D38" s="225"/>
      <c r="E38" s="794">
        <f>SUM(E35:E37)</f>
        <v>329818814.3299999</v>
      </c>
      <c r="F38" s="865">
        <f aca="true" t="shared" si="16" ref="F38:K38">SUM(F35:F37)</f>
        <v>0</v>
      </c>
      <c r="G38" s="865">
        <f t="shared" si="16"/>
        <v>0</v>
      </c>
      <c r="H38" s="865">
        <f t="shared" si="16"/>
        <v>0</v>
      </c>
      <c r="I38" s="865">
        <f t="shared" si="16"/>
        <v>0</v>
      </c>
      <c r="J38" s="865">
        <f t="shared" si="16"/>
        <v>424259.13</v>
      </c>
      <c r="K38" s="865">
        <f t="shared" si="16"/>
        <v>0</v>
      </c>
      <c r="L38" s="768"/>
      <c r="M38" s="794"/>
      <c r="N38" s="794"/>
      <c r="O38" s="794">
        <f>SUM(O35:O37)</f>
        <v>329818814.3299999</v>
      </c>
      <c r="P38" s="866">
        <f>SUM(P35:P37)</f>
        <v>0</v>
      </c>
      <c r="Q38" s="867">
        <v>286067893.90000004</v>
      </c>
      <c r="R38" s="867"/>
      <c r="S38" s="867"/>
      <c r="T38" s="867"/>
      <c r="U38" s="867">
        <f>SUM(U35:U37)</f>
        <v>311721347.96999997</v>
      </c>
      <c r="V38" s="429">
        <f>(O38-U38)/1000</f>
        <v>18097.466359999955</v>
      </c>
      <c r="W38" s="435">
        <f>V38/U38*1000</f>
        <v>0.058056551076321065</v>
      </c>
      <c r="X38" s="610">
        <f aca="true" t="shared" si="17" ref="X38:X46">(E38-Q38)/1000</f>
        <v>43750.92042999989</v>
      </c>
      <c r="Y38" s="613">
        <f aca="true" t="shared" si="18" ref="Y38:Y46">X38/Q38*1000</f>
        <v>0.1529389398912895</v>
      </c>
    </row>
    <row r="39" spans="1:25" ht="11.25">
      <c r="A39" s="230"/>
      <c r="B39" s="764" t="s">
        <v>702</v>
      </c>
      <c r="C39" s="230" t="s">
        <v>703</v>
      </c>
      <c r="D39" s="225"/>
      <c r="E39" s="868"/>
      <c r="F39" s="868">
        <v>0</v>
      </c>
      <c r="G39" s="868">
        <v>0</v>
      </c>
      <c r="H39" s="869">
        <v>0</v>
      </c>
      <c r="I39" s="869"/>
      <c r="J39" s="869"/>
      <c r="K39" s="869"/>
      <c r="L39" s="789"/>
      <c r="M39" s="791"/>
      <c r="N39" s="791"/>
      <c r="O39" s="791">
        <v>0</v>
      </c>
      <c r="P39" s="870"/>
      <c r="Q39" s="792">
        <v>0</v>
      </c>
      <c r="R39" s="792"/>
      <c r="S39" s="792"/>
      <c r="T39" s="792"/>
      <c r="U39" s="792">
        <v>0</v>
      </c>
      <c r="V39" s="923">
        <f aca="true" t="shared" si="19" ref="V39:V45">(O39-U39)/1000</f>
        <v>0</v>
      </c>
      <c r="W39" s="924"/>
      <c r="X39" s="980">
        <f t="shared" si="17"/>
        <v>0</v>
      </c>
      <c r="Y39" s="982"/>
    </row>
    <row r="40" spans="1:25" ht="11.25">
      <c r="A40" s="230"/>
      <c r="B40" s="764"/>
      <c r="C40" s="230"/>
      <c r="D40" s="225"/>
      <c r="E40" s="871"/>
      <c r="F40" s="848"/>
      <c r="G40" s="860"/>
      <c r="H40" s="773"/>
      <c r="I40" s="773"/>
      <c r="J40" s="773"/>
      <c r="K40" s="773"/>
      <c r="L40" s="768"/>
      <c r="M40" s="778"/>
      <c r="N40" s="779"/>
      <c r="O40" s="872"/>
      <c r="P40" s="873"/>
      <c r="Q40" s="874"/>
      <c r="R40" s="874"/>
      <c r="S40" s="874"/>
      <c r="T40" s="874"/>
      <c r="U40" s="874">
        <v>0</v>
      </c>
      <c r="V40" s="429"/>
      <c r="W40" s="435"/>
      <c r="X40" s="610"/>
      <c r="Y40" s="613"/>
    </row>
    <row r="41" spans="1:25" ht="11.25">
      <c r="A41" s="230"/>
      <c r="B41" s="910" t="s">
        <v>704</v>
      </c>
      <c r="C41" s="230"/>
      <c r="D41" s="525"/>
      <c r="E41" s="875">
        <f>SUM(E24,E26:E29,E33,E37-E39)</f>
        <v>329818814.3299999</v>
      </c>
      <c r="F41" s="875">
        <f>SUM(F38:F39)</f>
        <v>0</v>
      </c>
      <c r="G41" s="875">
        <f>SUM(G38:G39)</f>
        <v>0</v>
      </c>
      <c r="H41" s="875">
        <f>SUM(H38:H39)</f>
        <v>0</v>
      </c>
      <c r="I41" s="875">
        <f>SUM(I38:I39)</f>
        <v>0</v>
      </c>
      <c r="J41" s="875">
        <f>SUM(J38:J39)</f>
        <v>424259.13</v>
      </c>
      <c r="K41" s="862">
        <f aca="true" t="shared" si="20" ref="K41:K46">J41-H41</f>
        <v>424259.13</v>
      </c>
      <c r="L41" s="877"/>
      <c r="M41" s="876">
        <f>M33</f>
        <v>0</v>
      </c>
      <c r="N41" s="862">
        <f>N33</f>
        <v>0</v>
      </c>
      <c r="O41" s="862">
        <f aca="true" t="shared" si="21" ref="O41:O46">E41+M41-N41</f>
        <v>329818814.3299999</v>
      </c>
      <c r="P41" s="863">
        <f aca="true" t="shared" si="22" ref="P41:P46">K41-M41+N41</f>
        <v>424259.13</v>
      </c>
      <c r="Q41" s="864">
        <v>286067893.90000004</v>
      </c>
      <c r="R41" s="864"/>
      <c r="S41" s="864"/>
      <c r="T41" s="864"/>
      <c r="U41" s="864">
        <f>SUM(U38:U39)</f>
        <v>311721347.96999997</v>
      </c>
      <c r="V41" s="429">
        <f t="shared" si="19"/>
        <v>18097.466359999955</v>
      </c>
      <c r="W41" s="435">
        <f>V41/U41*1000</f>
        <v>0.058056551076321065</v>
      </c>
      <c r="X41" s="610">
        <f t="shared" si="17"/>
        <v>43750.92042999989</v>
      </c>
      <c r="Y41" s="613">
        <f t="shared" si="18"/>
        <v>0.1529389398912895</v>
      </c>
    </row>
    <row r="42" spans="1:25" ht="11.25">
      <c r="A42" s="225">
        <v>519000</v>
      </c>
      <c r="B42" s="336" t="s">
        <v>700</v>
      </c>
      <c r="C42" s="230" t="s">
        <v>877</v>
      </c>
      <c r="D42" s="225"/>
      <c r="E42" s="878">
        <f>VLOOKUP(A42,TB!$A:$E,5,FALSE)</f>
        <v>160000</v>
      </c>
      <c r="F42" s="844"/>
      <c r="G42" s="844"/>
      <c r="H42" s="778"/>
      <c r="I42" s="855"/>
      <c r="J42" s="151"/>
      <c r="K42" s="474"/>
      <c r="L42" s="784"/>
      <c r="M42" s="795"/>
      <c r="N42" s="769"/>
      <c r="O42" s="779">
        <f t="shared" si="21"/>
        <v>160000</v>
      </c>
      <c r="P42" s="783">
        <f t="shared" si="22"/>
        <v>0</v>
      </c>
      <c r="Q42" s="782">
        <v>32800</v>
      </c>
      <c r="R42" s="782"/>
      <c r="S42" s="782"/>
      <c r="T42" s="782"/>
      <c r="U42" s="782">
        <v>16000</v>
      </c>
      <c r="V42" s="429">
        <f t="shared" si="19"/>
        <v>144</v>
      </c>
      <c r="W42" s="435">
        <f>V42/U42*1000</f>
        <v>9</v>
      </c>
      <c r="X42" s="610">
        <f t="shared" si="17"/>
        <v>127.2</v>
      </c>
      <c r="Y42" s="613">
        <f t="shared" si="18"/>
        <v>3.8780487804878048</v>
      </c>
    </row>
    <row r="43" spans="1:25" ht="11.25">
      <c r="A43" s="230"/>
      <c r="B43" s="336" t="s">
        <v>700</v>
      </c>
      <c r="C43" s="230" t="s">
        <v>923</v>
      </c>
      <c r="D43" s="225"/>
      <c r="E43" s="844"/>
      <c r="F43" s="844"/>
      <c r="G43" s="844"/>
      <c r="H43" s="778">
        <v>0</v>
      </c>
      <c r="I43" s="778">
        <v>0</v>
      </c>
      <c r="J43" s="768"/>
      <c r="K43" s="474">
        <f t="shared" si="20"/>
        <v>0</v>
      </c>
      <c r="L43" s="768"/>
      <c r="M43" s="769"/>
      <c r="N43" s="769"/>
      <c r="O43" s="779">
        <f t="shared" si="21"/>
        <v>0</v>
      </c>
      <c r="P43" s="783">
        <f t="shared" si="22"/>
        <v>0</v>
      </c>
      <c r="Q43" s="782">
        <v>0</v>
      </c>
      <c r="R43" s="782"/>
      <c r="S43" s="782"/>
      <c r="T43" s="782"/>
      <c r="U43" s="782">
        <v>0</v>
      </c>
      <c r="V43" s="429">
        <f t="shared" si="19"/>
        <v>0</v>
      </c>
      <c r="W43" s="435"/>
      <c r="X43" s="610">
        <f t="shared" si="17"/>
        <v>0</v>
      </c>
      <c r="Y43" s="613"/>
    </row>
    <row r="44" spans="1:25" ht="11.25">
      <c r="A44" s="230"/>
      <c r="B44" s="764" t="s">
        <v>702</v>
      </c>
      <c r="C44" s="230" t="s">
        <v>705</v>
      </c>
      <c r="D44" s="225"/>
      <c r="E44" s="844"/>
      <c r="F44" s="844"/>
      <c r="G44" s="844"/>
      <c r="H44" s="778">
        <v>0</v>
      </c>
      <c r="I44" s="778">
        <v>0</v>
      </c>
      <c r="J44" s="768"/>
      <c r="K44" s="474">
        <f t="shared" si="20"/>
        <v>0</v>
      </c>
      <c r="L44" s="768"/>
      <c r="M44" s="778"/>
      <c r="N44" s="779"/>
      <c r="O44" s="779">
        <f t="shared" si="21"/>
        <v>0</v>
      </c>
      <c r="P44" s="783">
        <f t="shared" si="22"/>
        <v>0</v>
      </c>
      <c r="Q44" s="782">
        <v>0</v>
      </c>
      <c r="R44" s="782"/>
      <c r="S44" s="782"/>
      <c r="T44" s="782"/>
      <c r="U44" s="782">
        <v>0</v>
      </c>
      <c r="V44" s="429">
        <f t="shared" si="19"/>
        <v>0</v>
      </c>
      <c r="W44" s="435"/>
      <c r="X44" s="610">
        <f t="shared" si="17"/>
        <v>0</v>
      </c>
      <c r="Y44" s="613"/>
    </row>
    <row r="45" spans="1:25" s="4" customFormat="1" ht="11.25">
      <c r="A45" s="383"/>
      <c r="B45" s="797" t="s">
        <v>700</v>
      </c>
      <c r="C45" s="383" t="s">
        <v>706</v>
      </c>
      <c r="D45" s="796"/>
      <c r="E45" s="837">
        <f>'3400'!J9</f>
        <v>30807485.27</v>
      </c>
      <c r="F45" s="837"/>
      <c r="G45" s="1479"/>
      <c r="H45" s="805"/>
      <c r="I45" s="805"/>
      <c r="J45" s="805"/>
      <c r="K45" s="804">
        <f t="shared" si="20"/>
        <v>0</v>
      </c>
      <c r="L45" s="805"/>
      <c r="M45" s="821"/>
      <c r="N45" s="822"/>
      <c r="O45" s="822">
        <f t="shared" si="21"/>
        <v>30807485.27</v>
      </c>
      <c r="P45" s="1480">
        <f t="shared" si="22"/>
        <v>0</v>
      </c>
      <c r="Q45" s="1481">
        <v>33803259.55</v>
      </c>
      <c r="R45" s="1481"/>
      <c r="S45" s="1481"/>
      <c r="T45" s="1481"/>
      <c r="U45" s="1481">
        <v>44145887.89</v>
      </c>
      <c r="V45" s="429">
        <f t="shared" si="19"/>
        <v>-13338.40262</v>
      </c>
      <c r="W45" s="435">
        <v>1</v>
      </c>
      <c r="X45" s="610">
        <f t="shared" si="17"/>
        <v>-2995.7742799999974</v>
      </c>
      <c r="Y45" s="613">
        <f t="shared" si="18"/>
        <v>-0.08862382858578494</v>
      </c>
    </row>
    <row r="46" spans="1:25" s="4" customFormat="1" ht="11.25">
      <c r="A46" s="383"/>
      <c r="B46" s="797" t="s">
        <v>702</v>
      </c>
      <c r="C46" s="383" t="s">
        <v>707</v>
      </c>
      <c r="D46" s="796"/>
      <c r="E46" s="809">
        <f>-'3400'!H9</f>
        <v>-30724870.73</v>
      </c>
      <c r="F46" s="809"/>
      <c r="G46" s="1482"/>
      <c r="H46" s="814"/>
      <c r="I46" s="814"/>
      <c r="J46" s="814"/>
      <c r="K46" s="1475">
        <f t="shared" si="20"/>
        <v>0</v>
      </c>
      <c r="L46" s="1079"/>
      <c r="M46" s="821"/>
      <c r="N46" s="822"/>
      <c r="O46" s="810">
        <f t="shared" si="21"/>
        <v>-30724870.73</v>
      </c>
      <c r="P46" s="812">
        <f t="shared" si="22"/>
        <v>0</v>
      </c>
      <c r="Q46" s="810">
        <v>-51343865.33</v>
      </c>
      <c r="R46" s="810"/>
      <c r="S46" s="810"/>
      <c r="T46" s="810"/>
      <c r="U46" s="810">
        <v>-30767519.27</v>
      </c>
      <c r="V46" s="923">
        <f>(O46-U46)/1000</f>
        <v>42.64853999999911</v>
      </c>
      <c r="W46" s="924">
        <f>V46/U46*1000</f>
        <v>-0.0013861546530852017</v>
      </c>
      <c r="X46" s="980">
        <f t="shared" si="17"/>
        <v>20618.994599999998</v>
      </c>
      <c r="Y46" s="981">
        <f t="shared" si="18"/>
        <v>-0.40158633300154767</v>
      </c>
    </row>
    <row r="47" spans="1:25" ht="11.25">
      <c r="A47" s="230"/>
      <c r="B47" s="764"/>
      <c r="C47" s="230"/>
      <c r="D47" s="225"/>
      <c r="E47" s="848"/>
      <c r="F47" s="848"/>
      <c r="G47" s="860"/>
      <c r="H47" s="773"/>
      <c r="I47" s="773"/>
      <c r="J47" s="773"/>
      <c r="K47" s="771"/>
      <c r="L47" s="1078"/>
      <c r="M47" s="1498"/>
      <c r="N47" s="1503"/>
      <c r="O47" s="872"/>
      <c r="P47" s="850"/>
      <c r="Q47" s="874"/>
      <c r="R47" s="851"/>
      <c r="S47" s="851"/>
      <c r="T47" s="851"/>
      <c r="U47" s="851">
        <v>0</v>
      </c>
      <c r="V47" s="785"/>
      <c r="W47" s="786"/>
      <c r="X47" s="786"/>
      <c r="Y47" s="786"/>
    </row>
    <row r="48" spans="1:25" ht="11.25">
      <c r="A48" s="230"/>
      <c r="B48" s="843" t="s">
        <v>709</v>
      </c>
      <c r="C48" s="230"/>
      <c r="D48" s="225"/>
      <c r="E48" s="879">
        <f>SUM(E41:E46)</f>
        <v>330061428.8699999</v>
      </c>
      <c r="F48" s="879">
        <f aca="true" t="shared" si="23" ref="F48:K48">SUM(F41:F46)</f>
        <v>0</v>
      </c>
      <c r="G48" s="879">
        <f t="shared" si="23"/>
        <v>0</v>
      </c>
      <c r="H48" s="879">
        <f t="shared" si="23"/>
        <v>0</v>
      </c>
      <c r="I48" s="879">
        <f t="shared" si="23"/>
        <v>0</v>
      </c>
      <c r="J48" s="862">
        <f t="shared" si="23"/>
        <v>424259.13</v>
      </c>
      <c r="K48" s="876">
        <f t="shared" si="23"/>
        <v>424259.13</v>
      </c>
      <c r="L48" s="877"/>
      <c r="M48" s="863"/>
      <c r="N48" s="876"/>
      <c r="O48" s="862">
        <f>SUM(O41:O46)</f>
        <v>330061428.8699999</v>
      </c>
      <c r="P48" s="863">
        <f>SUM(P41:P46)</f>
        <v>424259.13</v>
      </c>
      <c r="Q48" s="862">
        <v>268560088.12000006</v>
      </c>
      <c r="R48" s="862"/>
      <c r="S48" s="862"/>
      <c r="T48" s="862"/>
      <c r="U48" s="862">
        <f>SUM(U41:U46)</f>
        <v>325115716.59</v>
      </c>
      <c r="V48" s="429">
        <f>(O48-U48)/1000</f>
        <v>4945.7122799999115</v>
      </c>
      <c r="W48" s="435">
        <f>V48/U48*1000</f>
        <v>0.015212159940692433</v>
      </c>
      <c r="X48" s="610">
        <f>(E48-Q48)/1000</f>
        <v>61501.34074999982</v>
      </c>
      <c r="Y48" s="613">
        <f>X48/Q48*1000</f>
        <v>0.22900402357076724</v>
      </c>
    </row>
    <row r="49" spans="1:25" ht="11.25">
      <c r="A49" s="230"/>
      <c r="B49" s="843" t="s">
        <v>710</v>
      </c>
      <c r="C49" s="230"/>
      <c r="D49" s="225"/>
      <c r="E49" s="1483">
        <f>'[19]PL Q1''08'!$M$112</f>
        <v>315046.92</v>
      </c>
      <c r="F49" s="1484"/>
      <c r="G49" s="1485"/>
      <c r="H49" s="1486"/>
      <c r="I49" s="1487"/>
      <c r="J49" s="1487"/>
      <c r="K49" s="1488">
        <f>-K17</f>
        <v>0</v>
      </c>
      <c r="L49" s="1080"/>
      <c r="M49" s="1497"/>
      <c r="N49" s="1502"/>
      <c r="O49" s="822">
        <f>E49+M49-N49</f>
        <v>315046.92</v>
      </c>
      <c r="P49" s="1480">
        <f>K49+M49-N49</f>
        <v>0</v>
      </c>
      <c r="Q49" s="1481">
        <v>0</v>
      </c>
      <c r="R49" s="1481"/>
      <c r="S49" s="1481"/>
      <c r="T49" s="1481"/>
      <c r="U49" s="1481"/>
      <c r="V49" s="429">
        <f>(O49-U49)/1000</f>
        <v>315.04692</v>
      </c>
      <c r="W49" s="435"/>
      <c r="X49" s="610">
        <f>(E49-Q49)/1000</f>
        <v>315.04692</v>
      </c>
      <c r="Y49" s="613" t="e">
        <f>X49/Q49*1000</f>
        <v>#DIV/0!</v>
      </c>
    </row>
    <row r="50" spans="1:25" ht="11.25">
      <c r="A50" s="230"/>
      <c r="B50" s="843" t="s">
        <v>711</v>
      </c>
      <c r="C50" s="230"/>
      <c r="D50" s="225"/>
      <c r="E50" s="1489">
        <f>SUM(E48:E49)</f>
        <v>330376475.7899999</v>
      </c>
      <c r="F50" s="1490">
        <f aca="true" t="shared" si="24" ref="F50:K50">SUM(F48:F49)</f>
        <v>0</v>
      </c>
      <c r="G50" s="1490">
        <f t="shared" si="24"/>
        <v>0</v>
      </c>
      <c r="H50" s="1490">
        <f t="shared" si="24"/>
        <v>0</v>
      </c>
      <c r="I50" s="1490">
        <f t="shared" si="24"/>
        <v>0</v>
      </c>
      <c r="J50" s="1490">
        <f t="shared" si="24"/>
        <v>424259.13</v>
      </c>
      <c r="K50" s="1489">
        <f t="shared" si="24"/>
        <v>424259.13</v>
      </c>
      <c r="L50" s="835"/>
      <c r="M50" s="1033">
        <f>SUM(M41:M49)</f>
        <v>0</v>
      </c>
      <c r="N50" s="835">
        <f>SUM(N41:N49)</f>
        <v>0</v>
      </c>
      <c r="O50" s="1495">
        <f>SUM(O48:P49)</f>
        <v>330800734.9199999</v>
      </c>
      <c r="P50" s="1489">
        <f>SUM(P48:P49)</f>
        <v>424259.13</v>
      </c>
      <c r="Q50" s="454">
        <v>268560088.12000006</v>
      </c>
      <c r="R50" s="454"/>
      <c r="S50" s="454"/>
      <c r="T50" s="454"/>
      <c r="U50" s="1495">
        <f>SUM(U48:V49)</f>
        <v>325120977.34919995</v>
      </c>
      <c r="V50" s="433">
        <f>(O50-U50)/1000</f>
        <v>5679.757570799947</v>
      </c>
      <c r="W50" s="672">
        <f>V50/U50*1000</f>
        <v>0.0174696742643571</v>
      </c>
      <c r="X50" s="983">
        <f>(E50-Q50)/1000</f>
        <v>61816.387669999836</v>
      </c>
      <c r="Y50" s="984">
        <f>X50/Q50*1000</f>
        <v>0.23017712014742325</v>
      </c>
    </row>
    <row r="51" spans="1:25" ht="12" thickBot="1">
      <c r="A51" s="230"/>
      <c r="B51" s="843" t="s">
        <v>712</v>
      </c>
      <c r="C51" s="230"/>
      <c r="D51" s="225"/>
      <c r="E51" s="1491">
        <f>'6000'!D25-'6100'!E50</f>
        <v>48617392.43000007</v>
      </c>
      <c r="F51" s="1491" t="e">
        <f>'6000'!#REF!-'6100'!F50</f>
        <v>#REF!</v>
      </c>
      <c r="G51" s="1491" t="e">
        <f>'6000'!#REF!-'6100'!G50</f>
        <v>#REF!</v>
      </c>
      <c r="H51" s="1491" t="e">
        <f>'6000'!#REF!-'6100'!H50</f>
        <v>#REF!</v>
      </c>
      <c r="I51" s="1491" t="e">
        <f>'6000'!#REF!-'6100'!I50</f>
        <v>#REF!</v>
      </c>
      <c r="J51" s="1492" t="e">
        <f>'6000'!#REF!-'6100'!J50</f>
        <v>#REF!</v>
      </c>
      <c r="K51" s="1494" t="e">
        <f>'6000'!#REF!-'6100'!K50</f>
        <v>#REF!</v>
      </c>
      <c r="L51" s="1080"/>
      <c r="M51" s="841"/>
      <c r="N51" s="840"/>
      <c r="O51" s="1496">
        <f>'6000'!H25-'6100'!O50</f>
        <v>48193133.30000007</v>
      </c>
      <c r="P51" s="1493" t="e">
        <f>'6000'!#REF!-'6100'!P50</f>
        <v>#REF!</v>
      </c>
      <c r="Q51" s="1493">
        <v>39073863.94999993</v>
      </c>
      <c r="R51" s="1493"/>
      <c r="S51" s="1493"/>
      <c r="T51" s="1493"/>
      <c r="U51" s="1493">
        <f>'6000'!J25-'6100'!U50</f>
        <v>39808131.73080009</v>
      </c>
      <c r="V51" s="925">
        <f>(O51-U51)/1000</f>
        <v>8385.00156919998</v>
      </c>
      <c r="W51" s="673">
        <f>V51/U51*1000</f>
        <v>0.21063539544892507</v>
      </c>
      <c r="X51" s="985">
        <f>(E51-Q51)/1000</f>
        <v>9543.52848000014</v>
      </c>
      <c r="Y51" s="986">
        <f>X51/Q51*1000</f>
        <v>0.24424327453799607</v>
      </c>
    </row>
    <row r="52" spans="1:25" ht="12" thickTop="1">
      <c r="A52" s="305"/>
      <c r="B52" s="880"/>
      <c r="C52" s="305"/>
      <c r="D52" s="226"/>
      <c r="E52" s="881"/>
      <c r="F52" s="881"/>
      <c r="G52" s="881"/>
      <c r="H52" s="882"/>
      <c r="I52" s="882"/>
      <c r="J52" s="882"/>
      <c r="K52" s="882"/>
      <c r="L52" s="789"/>
      <c r="M52" s="1499"/>
      <c r="N52" s="789"/>
      <c r="O52" s="882"/>
      <c r="P52" s="882"/>
      <c r="Q52" s="883"/>
      <c r="R52" s="883"/>
      <c r="S52" s="883"/>
      <c r="T52" s="883"/>
      <c r="U52" s="883"/>
      <c r="V52" s="884"/>
      <c r="W52" s="885"/>
      <c r="X52" s="885"/>
      <c r="Y52" s="885"/>
    </row>
    <row r="53" spans="17:22" ht="11.25">
      <c r="Q53" s="887" t="s">
        <v>1140</v>
      </c>
      <c r="R53" s="886"/>
      <c r="S53" s="886"/>
      <c r="T53" s="886"/>
      <c r="U53" s="1201"/>
      <c r="V53" s="888"/>
    </row>
    <row r="54" spans="1:22" ht="11.25">
      <c r="A54" s="1" t="s">
        <v>1141</v>
      </c>
      <c r="E54" s="893">
        <f>E50-'[19]PL Q1''08'!$M$115</f>
        <v>281759083.35999984</v>
      </c>
      <c r="I54" s="5">
        <v>1.289068683521932</v>
      </c>
      <c r="J54" s="887" t="e">
        <f>J51-#REF!</f>
        <v>#REF!</v>
      </c>
      <c r="O54" s="889"/>
      <c r="P54" s="889"/>
      <c r="Q54" s="890"/>
      <c r="R54" s="890"/>
      <c r="S54" s="890"/>
      <c r="T54" s="890"/>
      <c r="U54" s="890"/>
      <c r="V54" s="888"/>
    </row>
    <row r="55" spans="1:22" ht="11.25">
      <c r="A55" s="1" t="s">
        <v>1207</v>
      </c>
      <c r="F55" s="891"/>
      <c r="G55" s="891"/>
      <c r="H55" s="892"/>
      <c r="I55" s="887">
        <v>-0.21443631352611356</v>
      </c>
      <c r="O55" s="889"/>
      <c r="P55" s="889"/>
      <c r="Q55" s="890"/>
      <c r="R55" s="890"/>
      <c r="S55" s="890"/>
      <c r="T55" s="890"/>
      <c r="U55" s="890"/>
      <c r="V55" s="888"/>
    </row>
    <row r="56" spans="6:22" ht="11.25">
      <c r="F56" s="893"/>
      <c r="H56" s="893"/>
      <c r="I56" s="887">
        <v>-0.04510574583386865</v>
      </c>
      <c r="J56" s="894"/>
      <c r="O56" s="889"/>
      <c r="P56" s="405"/>
      <c r="Q56" s="890"/>
      <c r="R56" s="890"/>
      <c r="S56" s="890"/>
      <c r="T56" s="890"/>
      <c r="U56" s="890"/>
      <c r="V56" s="888"/>
    </row>
    <row r="57" spans="9:22" ht="11.25">
      <c r="I57" s="887"/>
      <c r="V57" s="888"/>
    </row>
    <row r="58" ht="11.25">
      <c r="V58" s="888"/>
    </row>
    <row r="59" ht="11.25">
      <c r="V59" s="888"/>
    </row>
    <row r="60" ht="11.25">
      <c r="V60" s="888"/>
    </row>
    <row r="61" ht="11.25">
      <c r="V61" s="888"/>
    </row>
    <row r="62" ht="11.25">
      <c r="V62" s="888"/>
    </row>
    <row r="63" ht="11.25">
      <c r="V63" s="888"/>
    </row>
    <row r="64" ht="11.25">
      <c r="V64" s="888"/>
    </row>
    <row r="65" ht="11.25">
      <c r="V65" s="888"/>
    </row>
    <row r="66" ht="11.25">
      <c r="V66" s="888"/>
    </row>
    <row r="67" ht="11.25">
      <c r="V67" s="888"/>
    </row>
    <row r="68" ht="11.25">
      <c r="V68" s="888"/>
    </row>
    <row r="69" ht="11.25">
      <c r="V69" s="888"/>
    </row>
    <row r="70" ht="11.25">
      <c r="V70" s="888"/>
    </row>
    <row r="71" ht="11.25">
      <c r="V71" s="888"/>
    </row>
    <row r="72" ht="11.25">
      <c r="V72" s="888"/>
    </row>
    <row r="73" ht="11.25">
      <c r="V73" s="888"/>
    </row>
    <row r="74" ht="11.25">
      <c r="V74" s="888"/>
    </row>
    <row r="75" ht="11.25">
      <c r="V75" s="888"/>
    </row>
    <row r="76" ht="11.25">
      <c r="V76" s="888"/>
    </row>
    <row r="77" ht="11.25">
      <c r="V77" s="888"/>
    </row>
    <row r="78" ht="11.25">
      <c r="V78" s="888"/>
    </row>
    <row r="79" ht="11.25">
      <c r="V79" s="888"/>
    </row>
    <row r="80" ht="11.25">
      <c r="V80" s="888"/>
    </row>
    <row r="81" ht="11.25">
      <c r="V81" s="888"/>
    </row>
    <row r="82" ht="11.25">
      <c r="V82" s="888"/>
    </row>
    <row r="83" ht="11.25">
      <c r="V83" s="888"/>
    </row>
    <row r="84" ht="11.25">
      <c r="V84" s="888"/>
    </row>
    <row r="85" ht="11.25">
      <c r="V85" s="888"/>
    </row>
    <row r="86" ht="11.25">
      <c r="V86" s="888"/>
    </row>
    <row r="87" ht="11.25">
      <c r="V87" s="888"/>
    </row>
    <row r="88" ht="11.25">
      <c r="V88" s="888"/>
    </row>
    <row r="89" ht="11.25">
      <c r="V89" s="888"/>
    </row>
    <row r="90" ht="11.25">
      <c r="V90" s="888"/>
    </row>
    <row r="91" ht="11.25">
      <c r="V91" s="888"/>
    </row>
    <row r="92" ht="11.25">
      <c r="V92" s="888"/>
    </row>
    <row r="93" ht="11.25">
      <c r="V93" s="888"/>
    </row>
    <row r="94" ht="11.25">
      <c r="V94" s="888"/>
    </row>
    <row r="95" ht="11.25">
      <c r="V95" s="888"/>
    </row>
    <row r="96" ht="11.25">
      <c r="V96" s="888"/>
    </row>
    <row r="97" ht="11.25">
      <c r="V97" s="888"/>
    </row>
    <row r="98" ht="11.25">
      <c r="V98" s="888"/>
    </row>
    <row r="99" ht="11.25">
      <c r="V99" s="888"/>
    </row>
    <row r="100" ht="11.25">
      <c r="V100" s="888"/>
    </row>
    <row r="101" ht="11.25">
      <c r="V101" s="888"/>
    </row>
    <row r="102" ht="11.25">
      <c r="V102" s="888"/>
    </row>
    <row r="103" ht="11.25">
      <c r="V103" s="888"/>
    </row>
  </sheetData>
  <mergeCells count="13">
    <mergeCell ref="X4:Y4"/>
    <mergeCell ref="V4:W4"/>
    <mergeCell ref="T2:U2"/>
    <mergeCell ref="V2:W2"/>
    <mergeCell ref="V3:W3"/>
    <mergeCell ref="X2:Y2"/>
    <mergeCell ref="X3:Y3"/>
    <mergeCell ref="B2:C4"/>
    <mergeCell ref="L2:N2"/>
    <mergeCell ref="L3:N3"/>
    <mergeCell ref="F2:G2"/>
    <mergeCell ref="J2:K2"/>
    <mergeCell ref="H2:I2"/>
  </mergeCells>
  <hyperlinks>
    <hyperlink ref="D31" location="'6100-1'!A1" display="6100-1"/>
    <hyperlink ref="D32" location="'6100-1'!A1" display="6100-1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="85" zoomScaleNormal="85" workbookViewId="0" topLeftCell="A1">
      <selection activeCell="A1" sqref="A1"/>
    </sheetView>
  </sheetViews>
  <sheetFormatPr defaultColWidth="9.140625" defaultRowHeight="21.75" customHeight="1"/>
  <cols>
    <col min="1" max="2" width="2.7109375" style="1627" customWidth="1"/>
    <col min="3" max="3" width="42.140625" style="1627" customWidth="1"/>
    <col min="4" max="4" width="6.8515625" style="1632" customWidth="1"/>
    <col min="5" max="5" width="5.421875" style="1627" customWidth="1"/>
    <col min="6" max="6" width="15.00390625" style="1626" customWidth="1"/>
    <col min="7" max="7" width="1.421875" style="1633" customWidth="1"/>
    <col min="8" max="8" width="13.421875" style="1626" customWidth="1"/>
    <col min="9" max="9" width="1.421875" style="1633" customWidth="1"/>
    <col min="10" max="10" width="13.00390625" style="1626" customWidth="1"/>
    <col min="11" max="11" width="1.421875" style="1633" customWidth="1"/>
    <col min="12" max="12" width="14.140625" style="1626" customWidth="1"/>
    <col min="13" max="13" width="1.421875" style="1633" customWidth="1"/>
    <col min="14" max="14" width="16.00390625" style="1626" customWidth="1"/>
    <col min="15" max="16384" width="9.140625" style="1627" customWidth="1"/>
  </cols>
  <sheetData>
    <row r="1" spans="1:14" s="1609" customFormat="1" ht="21.75" customHeight="1">
      <c r="A1" s="1582" t="s">
        <v>283</v>
      </c>
      <c r="D1" s="1610"/>
      <c r="F1" s="1611"/>
      <c r="G1" s="1612"/>
      <c r="H1" s="1611"/>
      <c r="I1" s="1612"/>
      <c r="J1" s="1611"/>
      <c r="K1" s="1612"/>
      <c r="L1" s="1611"/>
      <c r="M1" s="1612"/>
      <c r="N1" s="1611"/>
    </row>
    <row r="2" spans="1:14" s="1609" customFormat="1" ht="21.75" customHeight="1">
      <c r="A2" s="1582" t="s">
        <v>983</v>
      </c>
      <c r="D2" s="1610"/>
      <c r="F2" s="1611"/>
      <c r="G2" s="1612"/>
      <c r="H2" s="1611"/>
      <c r="I2" s="1612"/>
      <c r="J2" s="1611"/>
      <c r="K2" s="1612"/>
      <c r="L2" s="1611"/>
      <c r="M2" s="1612"/>
      <c r="N2" s="1611"/>
    </row>
    <row r="3" spans="1:14" s="1609" customFormat="1" ht="21.75" customHeight="1">
      <c r="A3" s="1587" t="str">
        <f>'ไทย2-4'!A95</f>
        <v>สำหรับงวดสามเดือนสิ้นสุดวันที่ 31 มีนาคม พ.ศ. 2552 และ พ.ศ. 2551</v>
      </c>
      <c r="B3" s="1613"/>
      <c r="C3" s="1613"/>
      <c r="D3" s="1614"/>
      <c r="E3" s="1613"/>
      <c r="F3" s="1615"/>
      <c r="G3" s="1616"/>
      <c r="H3" s="1615"/>
      <c r="I3" s="1616"/>
      <c r="J3" s="1615"/>
      <c r="K3" s="1616"/>
      <c r="L3" s="1615"/>
      <c r="M3" s="1616"/>
      <c r="N3" s="1615"/>
    </row>
    <row r="4" spans="4:14" s="1609" customFormat="1" ht="21.75" customHeight="1">
      <c r="D4" s="1610"/>
      <c r="F4" s="1611"/>
      <c r="G4" s="1612"/>
      <c r="H4" s="1611"/>
      <c r="I4" s="1612"/>
      <c r="J4" s="1611"/>
      <c r="K4" s="1612"/>
      <c r="L4" s="1611"/>
      <c r="M4" s="1612"/>
      <c r="N4" s="1611"/>
    </row>
    <row r="5" spans="4:14" s="1609" customFormat="1" ht="21.75" customHeight="1">
      <c r="D5" s="1610"/>
      <c r="F5" s="1611"/>
      <c r="G5" s="1612"/>
      <c r="H5" s="1611"/>
      <c r="I5" s="1612"/>
      <c r="J5" s="1611"/>
      <c r="K5" s="1612"/>
      <c r="L5" s="1611"/>
      <c r="M5" s="1612"/>
      <c r="N5" s="1611" t="s">
        <v>383</v>
      </c>
    </row>
    <row r="6" spans="6:14" s="1609" customFormat="1" ht="21.75" customHeight="1">
      <c r="F6" s="1611" t="s">
        <v>384</v>
      </c>
      <c r="G6" s="1612"/>
      <c r="H6" s="1611" t="s">
        <v>385</v>
      </c>
      <c r="I6" s="1612"/>
      <c r="J6" s="1611" t="s">
        <v>386</v>
      </c>
      <c r="K6" s="1612"/>
      <c r="L6" s="1611" t="s">
        <v>150</v>
      </c>
      <c r="M6" s="1612"/>
      <c r="N6" s="1617"/>
    </row>
    <row r="7" spans="6:14" s="1609" customFormat="1" ht="21.75" customHeight="1">
      <c r="F7" s="1611" t="s">
        <v>387</v>
      </c>
      <c r="G7" s="1612"/>
      <c r="H7" s="1611" t="s">
        <v>388</v>
      </c>
      <c r="I7" s="1612"/>
      <c r="J7" s="1611" t="s">
        <v>389</v>
      </c>
      <c r="K7" s="1612"/>
      <c r="L7" s="1611" t="s">
        <v>390</v>
      </c>
      <c r="M7" s="1612"/>
      <c r="N7" s="1618" t="s">
        <v>391</v>
      </c>
    </row>
    <row r="8" spans="1:14" s="1609" customFormat="1" ht="21.75" customHeight="1">
      <c r="A8" s="1619"/>
      <c r="B8" s="1619"/>
      <c r="C8" s="1619"/>
      <c r="D8" s="1619"/>
      <c r="E8" s="1619"/>
      <c r="F8" s="1615" t="s">
        <v>291</v>
      </c>
      <c r="G8" s="1620"/>
      <c r="H8" s="1615" t="s">
        <v>291</v>
      </c>
      <c r="I8" s="1620"/>
      <c r="J8" s="1615" t="s">
        <v>291</v>
      </c>
      <c r="K8" s="1620"/>
      <c r="L8" s="1615" t="s">
        <v>291</v>
      </c>
      <c r="M8" s="1620"/>
      <c r="N8" s="1615" t="s">
        <v>291</v>
      </c>
    </row>
    <row r="9" spans="1:14" s="1609" customFormat="1" ht="21.75" customHeight="1">
      <c r="A9" s="1619"/>
      <c r="B9" s="1619"/>
      <c r="C9" s="1619"/>
      <c r="D9" s="1619"/>
      <c r="E9" s="1619"/>
      <c r="F9" s="1618"/>
      <c r="G9" s="1620"/>
      <c r="H9" s="1618"/>
      <c r="I9" s="1620"/>
      <c r="J9" s="1618"/>
      <c r="K9" s="1620"/>
      <c r="L9" s="1618"/>
      <c r="M9" s="1620"/>
      <c r="N9" s="1618"/>
    </row>
    <row r="10" spans="1:14" ht="21.75" customHeight="1">
      <c r="A10" s="1619" t="s">
        <v>984</v>
      </c>
      <c r="B10" s="1621"/>
      <c r="C10" s="1622"/>
      <c r="D10" s="1623"/>
      <c r="E10" s="1622"/>
      <c r="F10" s="1624">
        <v>121500000</v>
      </c>
      <c r="G10" s="1625"/>
      <c r="H10" s="1624">
        <v>233350000</v>
      </c>
      <c r="I10" s="1625"/>
      <c r="J10" s="1626">
        <v>12150000</v>
      </c>
      <c r="K10" s="1625"/>
      <c r="L10" s="1624">
        <v>226652659</v>
      </c>
      <c r="M10" s="1625"/>
      <c r="N10" s="1624">
        <f>SUM(F10:M10)</f>
        <v>593652659</v>
      </c>
    </row>
    <row r="11" spans="1:14" ht="21.75" customHeight="1">
      <c r="A11" s="1622" t="s">
        <v>381</v>
      </c>
      <c r="C11" s="1622"/>
      <c r="D11" s="1622"/>
      <c r="E11" s="1622"/>
      <c r="F11" s="1628" t="s">
        <v>1123</v>
      </c>
      <c r="G11" s="1623"/>
      <c r="H11" s="1628" t="s">
        <v>392</v>
      </c>
      <c r="I11" s="1623"/>
      <c r="J11" s="1628" t="s">
        <v>392</v>
      </c>
      <c r="K11" s="1625"/>
      <c r="L11" s="1629">
        <v>6689730</v>
      </c>
      <c r="M11" s="1625"/>
      <c r="N11" s="1629">
        <f>SUM(L11:M11)</f>
        <v>6689730</v>
      </c>
    </row>
    <row r="12" spans="1:14" ht="7.5" customHeight="1">
      <c r="A12" s="1622"/>
      <c r="B12" s="1622"/>
      <c r="C12" s="1622"/>
      <c r="D12" s="1622"/>
      <c r="E12" s="1622"/>
      <c r="F12" s="1624"/>
      <c r="G12" s="1625"/>
      <c r="H12" s="1624"/>
      <c r="I12" s="1625"/>
      <c r="J12" s="1624"/>
      <c r="K12" s="1625"/>
      <c r="L12" s="1624"/>
      <c r="M12" s="1625"/>
      <c r="N12" s="1624"/>
    </row>
    <row r="13" spans="1:14" ht="21.75" customHeight="1" thickBot="1">
      <c r="A13" s="1619" t="s">
        <v>985</v>
      </c>
      <c r="B13" s="1622"/>
      <c r="C13" s="1622"/>
      <c r="D13" s="1622"/>
      <c r="E13" s="1622"/>
      <c r="F13" s="1630">
        <v>121500000</v>
      </c>
      <c r="G13" s="1625"/>
      <c r="H13" s="1630">
        <v>233350000</v>
      </c>
      <c r="I13" s="1625"/>
      <c r="J13" s="1630">
        <v>12150000</v>
      </c>
      <c r="K13" s="1625"/>
      <c r="L13" s="1630">
        <v>233342389</v>
      </c>
      <c r="M13" s="1625"/>
      <c r="N13" s="1630">
        <f>SUM(F13:M13)</f>
        <v>600342389</v>
      </c>
    </row>
    <row r="14" spans="1:14" ht="21.75" customHeight="1" thickTop="1">
      <c r="A14" s="1622"/>
      <c r="B14" s="1622"/>
      <c r="C14" s="1622"/>
      <c r="D14" s="1622"/>
      <c r="E14" s="1622"/>
      <c r="F14" s="1624"/>
      <c r="G14" s="1625"/>
      <c r="H14" s="1624"/>
      <c r="I14" s="1625"/>
      <c r="J14" s="1624"/>
      <c r="K14" s="1625"/>
      <c r="L14" s="1624"/>
      <c r="M14" s="1625"/>
      <c r="N14" s="1624"/>
    </row>
    <row r="15" spans="4:14" s="1609" customFormat="1" ht="21.75" customHeight="1">
      <c r="D15" s="1610"/>
      <c r="F15" s="1617"/>
      <c r="G15" s="1612"/>
      <c r="H15" s="1617"/>
      <c r="I15" s="1612"/>
      <c r="J15" s="1611"/>
      <c r="K15" s="1612"/>
      <c r="L15" s="1611"/>
      <c r="M15" s="1612"/>
      <c r="N15" s="1611"/>
    </row>
    <row r="16" spans="6:14" s="1609" customFormat="1" ht="21.75" customHeight="1">
      <c r="F16" s="1611" t="s">
        <v>384</v>
      </c>
      <c r="G16" s="1612"/>
      <c r="H16" s="1611" t="s">
        <v>385</v>
      </c>
      <c r="I16" s="1612"/>
      <c r="J16" s="1611" t="s">
        <v>386</v>
      </c>
      <c r="K16" s="1612"/>
      <c r="L16" s="1611" t="s">
        <v>150</v>
      </c>
      <c r="M16" s="1612"/>
      <c r="N16" s="1631"/>
    </row>
    <row r="17" spans="6:14" s="1609" customFormat="1" ht="21.75" customHeight="1">
      <c r="F17" s="1611" t="s">
        <v>387</v>
      </c>
      <c r="G17" s="1612"/>
      <c r="H17" s="1611" t="s">
        <v>388</v>
      </c>
      <c r="I17" s="1612"/>
      <c r="J17" s="1611" t="s">
        <v>389</v>
      </c>
      <c r="K17" s="1612"/>
      <c r="L17" s="1611" t="s">
        <v>390</v>
      </c>
      <c r="M17" s="1612"/>
      <c r="N17" s="1618" t="s">
        <v>391</v>
      </c>
    </row>
    <row r="18" spans="1:14" s="1609" customFormat="1" ht="21.75" customHeight="1">
      <c r="A18" s="1619"/>
      <c r="B18" s="1619"/>
      <c r="C18" s="1619"/>
      <c r="D18" s="1619"/>
      <c r="E18" s="1619"/>
      <c r="F18" s="1615" t="s">
        <v>291</v>
      </c>
      <c r="G18" s="1620"/>
      <c r="H18" s="1615" t="s">
        <v>291</v>
      </c>
      <c r="I18" s="1620"/>
      <c r="J18" s="1615" t="s">
        <v>291</v>
      </c>
      <c r="K18" s="1620"/>
      <c r="L18" s="1615" t="s">
        <v>291</v>
      </c>
      <c r="M18" s="1620"/>
      <c r="N18" s="1615" t="s">
        <v>291</v>
      </c>
    </row>
    <row r="19" spans="1:14" s="1609" customFormat="1" ht="21.75" customHeight="1">
      <c r="A19" s="1619"/>
      <c r="B19" s="1619"/>
      <c r="C19" s="1619"/>
      <c r="D19" s="1619"/>
      <c r="E19" s="1619"/>
      <c r="F19" s="1618"/>
      <c r="G19" s="1620"/>
      <c r="H19" s="1618"/>
      <c r="I19" s="1620"/>
      <c r="J19" s="1618"/>
      <c r="K19" s="1620"/>
      <c r="L19" s="1618"/>
      <c r="M19" s="1620"/>
      <c r="N19" s="1618"/>
    </row>
    <row r="20" spans="1:14" ht="21.75" customHeight="1">
      <c r="A20" s="1619" t="s">
        <v>986</v>
      </c>
      <c r="B20" s="1621"/>
      <c r="C20" s="1622"/>
      <c r="D20" s="1623"/>
      <c r="E20" s="1622"/>
      <c r="F20" s="1624">
        <v>121500000</v>
      </c>
      <c r="G20" s="1625"/>
      <c r="H20" s="1624">
        <v>233350000</v>
      </c>
      <c r="I20" s="1625"/>
      <c r="J20" s="1626">
        <v>12150000</v>
      </c>
      <c r="K20" s="1625"/>
      <c r="L20" s="1624">
        <v>251380663</v>
      </c>
      <c r="M20" s="1625"/>
      <c r="N20" s="1624">
        <f>SUM(F20:M20)</f>
        <v>618380663</v>
      </c>
    </row>
    <row r="21" spans="1:14" ht="21.75" customHeight="1">
      <c r="A21" s="1622" t="s">
        <v>381</v>
      </c>
      <c r="C21" s="1622"/>
      <c r="D21" s="1622"/>
      <c r="E21" s="1622"/>
      <c r="F21" s="1628" t="s">
        <v>1123</v>
      </c>
      <c r="G21" s="1623"/>
      <c r="H21" s="1628" t="s">
        <v>392</v>
      </c>
      <c r="I21" s="1623"/>
      <c r="J21" s="1628" t="s">
        <v>392</v>
      </c>
      <c r="K21" s="1625"/>
      <c r="L21" s="1629">
        <v>13655225</v>
      </c>
      <c r="M21" s="1625"/>
      <c r="N21" s="1629">
        <f>SUM(L21:M21)</f>
        <v>13655225</v>
      </c>
    </row>
    <row r="22" spans="1:14" ht="7.5" customHeight="1">
      <c r="A22" s="1622"/>
      <c r="B22" s="1622"/>
      <c r="C22" s="1622"/>
      <c r="D22" s="1622"/>
      <c r="E22" s="1622"/>
      <c r="F22" s="1624"/>
      <c r="G22" s="1625"/>
      <c r="H22" s="1624"/>
      <c r="I22" s="1625"/>
      <c r="J22" s="1624"/>
      <c r="K22" s="1625"/>
      <c r="L22" s="1624"/>
      <c r="M22" s="1625"/>
      <c r="N22" s="1624"/>
    </row>
    <row r="23" spans="1:14" ht="21.75" customHeight="1" thickBot="1">
      <c r="A23" s="1619" t="s">
        <v>987</v>
      </c>
      <c r="B23" s="1622"/>
      <c r="C23" s="1622"/>
      <c r="D23" s="1622"/>
      <c r="E23" s="1622"/>
      <c r="F23" s="1630">
        <v>121500000</v>
      </c>
      <c r="G23" s="1625"/>
      <c r="H23" s="1630">
        <v>233350000</v>
      </c>
      <c r="I23" s="1625"/>
      <c r="J23" s="1630">
        <v>12150000</v>
      </c>
      <c r="K23" s="1625"/>
      <c r="L23" s="1630">
        <v>265035888</v>
      </c>
      <c r="M23" s="1625"/>
      <c r="N23" s="1630">
        <f>SUM(F23:M23)</f>
        <v>632035888</v>
      </c>
    </row>
    <row r="24" ht="21.75" customHeight="1" thickTop="1"/>
    <row r="26" ht="6.75" customHeight="1"/>
    <row r="27" spans="1:14" ht="21.75" customHeight="1">
      <c r="A27" s="1588" t="str">
        <f>'ไทย2-4'!A42</f>
        <v>หมายเหตุประกอบงบการเงินในหน้า 7 ถึง 15 เป็นส่วนหนึ่งของงบการเงินระหว่างกาลนี้</v>
      </c>
      <c r="B27" s="1634"/>
      <c r="C27" s="1634"/>
      <c r="D27" s="1635"/>
      <c r="E27" s="1634"/>
      <c r="F27" s="1629"/>
      <c r="G27" s="1636"/>
      <c r="H27" s="1629"/>
      <c r="I27" s="1636"/>
      <c r="J27" s="1629"/>
      <c r="K27" s="1636"/>
      <c r="L27" s="1629"/>
      <c r="M27" s="1636"/>
      <c r="N27" s="1629"/>
    </row>
  </sheetData>
  <printOptions/>
  <pageMargins left="1.2" right="0.75" top="0.5" bottom="0.6" header="0.49" footer="0.4"/>
  <pageSetup firstPageNumber="5" useFirstPageNumber="1" horizontalDpi="1200" verticalDpi="1200" orientation="landscape" paperSize="9" r:id="rId1"/>
  <headerFooter alignWithMargins="0">
    <oddFooter>&amp;R&amp;"Angsana New,Regular"&amp;P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Z57"/>
  <sheetViews>
    <sheetView workbookViewId="0" topLeftCell="A1">
      <pane xSplit="2" ySplit="5" topLeftCell="C6" activePane="bottomRight" state="frozen"/>
      <selection pane="topLeft" activeCell="G30" sqref="G30"/>
      <selection pane="topRight" activeCell="G30" sqref="G30"/>
      <selection pane="bottomLeft" activeCell="G30" sqref="G30"/>
      <selection pane="bottomRight" activeCell="G30" sqref="G30"/>
    </sheetView>
  </sheetViews>
  <sheetFormatPr defaultColWidth="9.140625" defaultRowHeight="21.75"/>
  <cols>
    <col min="1" max="1" width="9.7109375" style="50" customWidth="1"/>
    <col min="2" max="2" width="37.00390625" style="51" customWidth="1"/>
    <col min="3" max="3" width="6.8515625" style="51" customWidth="1"/>
    <col min="4" max="4" width="10.421875" style="416" customWidth="1"/>
    <col min="5" max="5" width="10.7109375" style="416" hidden="1" customWidth="1"/>
    <col min="6" max="6" width="9.8515625" style="416" hidden="1" customWidth="1"/>
    <col min="7" max="7" width="10.7109375" style="51" hidden="1" customWidth="1"/>
    <col min="8" max="8" width="9.8515625" style="51" hidden="1" customWidth="1"/>
    <col min="9" max="9" width="10.7109375" style="51" hidden="1" customWidth="1"/>
    <col min="10" max="10" width="11.28125" style="51" hidden="1" customWidth="1"/>
    <col min="11" max="11" width="7.140625" style="54" customWidth="1"/>
    <col min="12" max="13" width="9.421875" style="54" customWidth="1"/>
    <col min="14" max="14" width="10.7109375" style="54" bestFit="1" customWidth="1"/>
    <col min="15" max="15" width="11.28125" style="54" hidden="1" customWidth="1"/>
    <col min="16" max="16" width="10.421875" style="386" customWidth="1"/>
    <col min="17" max="18" width="10.7109375" style="51" hidden="1" customWidth="1"/>
    <col min="19" max="19" width="10.7109375" style="61" hidden="1" customWidth="1"/>
    <col min="20" max="20" width="12.140625" style="61" customWidth="1"/>
    <col min="21" max="21" width="8.28125" style="51" bestFit="1" customWidth="1"/>
    <col min="22" max="22" width="6.140625" style="51" bestFit="1" customWidth="1"/>
    <col min="23" max="23" width="6.57421875" style="51" customWidth="1"/>
    <col min="24" max="24" width="6.140625" style="51" customWidth="1"/>
    <col min="25" max="16384" width="9.140625" style="51" customWidth="1"/>
  </cols>
  <sheetData>
    <row r="1" spans="1:18" ht="11.25">
      <c r="A1" s="744" t="s">
        <v>485</v>
      </c>
      <c r="B1" s="60"/>
      <c r="C1" s="60"/>
      <c r="G1" s="60"/>
      <c r="H1" s="60"/>
      <c r="I1" s="60"/>
      <c r="J1" s="60"/>
      <c r="Q1" s="60"/>
      <c r="R1" s="60"/>
    </row>
    <row r="2" spans="1:24" ht="20.25" customHeight="1">
      <c r="A2" s="63"/>
      <c r="B2" s="64"/>
      <c r="C2" s="63"/>
      <c r="D2" s="1069" t="str">
        <f>'6000'!D3</f>
        <v>Quarter 1'08</v>
      </c>
      <c r="E2" s="1713" t="s">
        <v>956</v>
      </c>
      <c r="F2" s="1714"/>
      <c r="G2" s="1715" t="s">
        <v>957</v>
      </c>
      <c r="H2" s="1716"/>
      <c r="I2" s="1715" t="s">
        <v>958</v>
      </c>
      <c r="J2" s="1716"/>
      <c r="K2" s="1690" t="s">
        <v>486</v>
      </c>
      <c r="L2" s="477"/>
      <c r="M2" s="285"/>
      <c r="N2" s="1069" t="str">
        <f>'6000'!H3</f>
        <v>Quarter 1'08</v>
      </c>
      <c r="O2" s="1035"/>
      <c r="P2" s="1037" t="s">
        <v>927</v>
      </c>
      <c r="Q2" s="65" t="s">
        <v>927</v>
      </c>
      <c r="R2" s="65" t="s">
        <v>927</v>
      </c>
      <c r="S2" s="1036" t="s">
        <v>252</v>
      </c>
      <c r="T2" s="65" t="s">
        <v>927</v>
      </c>
      <c r="U2" s="1686" t="s">
        <v>487</v>
      </c>
      <c r="V2" s="1687"/>
      <c r="W2" s="1690" t="s">
        <v>487</v>
      </c>
      <c r="X2" s="1691"/>
    </row>
    <row r="3" spans="1:24" ht="11.25">
      <c r="A3" s="67" t="s">
        <v>488</v>
      </c>
      <c r="B3" s="68"/>
      <c r="C3" s="67"/>
      <c r="D3" s="1067">
        <f>'6000'!D4</f>
        <v>39538</v>
      </c>
      <c r="E3" s="425">
        <v>38898</v>
      </c>
      <c r="F3" s="605">
        <v>38898</v>
      </c>
      <c r="G3" s="69">
        <v>38990</v>
      </c>
      <c r="H3" s="70">
        <v>38990</v>
      </c>
      <c r="I3" s="69">
        <v>39082</v>
      </c>
      <c r="J3" s="70">
        <v>39082</v>
      </c>
      <c r="K3" s="1692" t="s">
        <v>489</v>
      </c>
      <c r="L3" s="1500"/>
      <c r="M3" s="1501"/>
      <c r="N3" s="1067">
        <f>'6000'!H4</f>
        <v>39538</v>
      </c>
      <c r="O3" s="70">
        <v>39082</v>
      </c>
      <c r="P3" s="1038">
        <f>'6000'!I4</f>
        <v>39172</v>
      </c>
      <c r="Q3" s="71">
        <v>38533</v>
      </c>
      <c r="R3" s="71">
        <v>38625</v>
      </c>
      <c r="S3" s="480">
        <v>38717</v>
      </c>
      <c r="T3" s="480">
        <f>'6000'!J4</f>
        <v>39447</v>
      </c>
      <c r="U3" s="1694">
        <f>'6000'!K4</f>
        <v>39447</v>
      </c>
      <c r="V3" s="1695">
        <f>'6000'!L4</f>
        <v>0</v>
      </c>
      <c r="W3" s="1721">
        <f>'6000'!M4</f>
        <v>39172</v>
      </c>
      <c r="X3" s="1722">
        <f>'6000'!N4</f>
        <v>0</v>
      </c>
    </row>
    <row r="4" spans="1:24" ht="11.25">
      <c r="A4" s="73" t="s">
        <v>491</v>
      </c>
      <c r="B4" s="74" t="s">
        <v>492</v>
      </c>
      <c r="C4" s="73" t="s">
        <v>493</v>
      </c>
      <c r="D4" s="1068" t="s">
        <v>869</v>
      </c>
      <c r="E4" s="425" t="s">
        <v>932</v>
      </c>
      <c r="F4" s="425" t="s">
        <v>869</v>
      </c>
      <c r="G4" s="69" t="s">
        <v>933</v>
      </c>
      <c r="H4" s="69" t="s">
        <v>869</v>
      </c>
      <c r="I4" s="69" t="s">
        <v>885</v>
      </c>
      <c r="J4" s="69" t="s">
        <v>869</v>
      </c>
      <c r="K4" s="75" t="s">
        <v>494</v>
      </c>
      <c r="L4" s="76" t="s">
        <v>495</v>
      </c>
      <c r="M4" s="77" t="s">
        <v>496</v>
      </c>
      <c r="N4" s="1068" t="s">
        <v>869</v>
      </c>
      <c r="O4" s="69" t="s">
        <v>869</v>
      </c>
      <c r="P4" s="480" t="s">
        <v>869</v>
      </c>
      <c r="Q4" s="480" t="s">
        <v>932</v>
      </c>
      <c r="R4" s="79" t="s">
        <v>933</v>
      </c>
      <c r="S4" s="480" t="s">
        <v>885</v>
      </c>
      <c r="T4" s="480" t="s">
        <v>869</v>
      </c>
      <c r="U4" s="1685" t="s">
        <v>869</v>
      </c>
      <c r="V4" s="1711"/>
      <c r="W4" s="1717" t="s">
        <v>869</v>
      </c>
      <c r="X4" s="1718"/>
    </row>
    <row r="5" spans="1:24" ht="11.25">
      <c r="A5" s="81"/>
      <c r="B5" s="82"/>
      <c r="C5" s="82"/>
      <c r="D5" s="1060" t="s">
        <v>497</v>
      </c>
      <c r="E5" s="417" t="s">
        <v>497</v>
      </c>
      <c r="F5" s="417" t="s">
        <v>497</v>
      </c>
      <c r="G5" s="76" t="s">
        <v>497</v>
      </c>
      <c r="H5" s="76" t="s">
        <v>497</v>
      </c>
      <c r="I5" s="76" t="s">
        <v>497</v>
      </c>
      <c r="J5" s="76" t="s">
        <v>497</v>
      </c>
      <c r="K5" s="83" t="s">
        <v>498</v>
      </c>
      <c r="L5" s="77" t="s">
        <v>497</v>
      </c>
      <c r="M5" s="77" t="s">
        <v>497</v>
      </c>
      <c r="N5" s="1060" t="s">
        <v>497</v>
      </c>
      <c r="O5" s="959" t="s">
        <v>497</v>
      </c>
      <c r="P5" s="84" t="s">
        <v>497</v>
      </c>
      <c r="Q5" s="84" t="s">
        <v>497</v>
      </c>
      <c r="R5" s="84" t="s">
        <v>497</v>
      </c>
      <c r="S5" s="84" t="s">
        <v>497</v>
      </c>
      <c r="T5" s="84" t="s">
        <v>497</v>
      </c>
      <c r="U5" s="77" t="s">
        <v>499</v>
      </c>
      <c r="V5" s="80" t="s">
        <v>500</v>
      </c>
      <c r="W5" s="77" t="s">
        <v>499</v>
      </c>
      <c r="X5" s="80" t="s">
        <v>500</v>
      </c>
    </row>
    <row r="6" spans="1:24" ht="11.25">
      <c r="A6" s="9"/>
      <c r="B6" s="106"/>
      <c r="C6" s="87"/>
      <c r="D6" s="482"/>
      <c r="E6" s="483"/>
      <c r="F6" s="484"/>
      <c r="G6" s="485"/>
      <c r="H6" s="485"/>
      <c r="I6" s="710"/>
      <c r="J6" s="485"/>
      <c r="K6" s="486"/>
      <c r="L6" s="153"/>
      <c r="M6" s="154"/>
      <c r="N6" s="487"/>
      <c r="O6" s="1045"/>
      <c r="P6" s="1042"/>
      <c r="Q6" s="488"/>
      <c r="R6" s="488"/>
      <c r="S6" s="489"/>
      <c r="T6" s="1044"/>
      <c r="U6" s="431"/>
      <c r="V6" s="437"/>
      <c r="W6" s="926"/>
      <c r="X6" s="437"/>
    </row>
    <row r="7" spans="1:24" ht="11.25">
      <c r="A7" s="22"/>
      <c r="B7" s="182" t="s">
        <v>935</v>
      </c>
      <c r="C7" s="91"/>
      <c r="D7" s="490"/>
      <c r="E7" s="491"/>
      <c r="F7" s="492"/>
      <c r="G7" s="333"/>
      <c r="H7" s="333"/>
      <c r="I7" s="711"/>
      <c r="J7" s="711"/>
      <c r="K7" s="154"/>
      <c r="L7" s="151"/>
      <c r="M7" s="154"/>
      <c r="N7" s="487"/>
      <c r="O7" s="1046"/>
      <c r="P7" s="1043"/>
      <c r="Q7" s="493"/>
      <c r="R7" s="493"/>
      <c r="S7" s="494"/>
      <c r="T7" s="494"/>
      <c r="U7" s="432"/>
      <c r="V7" s="438"/>
      <c r="W7" s="1090" t="s">
        <v>738</v>
      </c>
      <c r="X7" s="438"/>
    </row>
    <row r="8" spans="1:26" ht="12.75" customHeight="1">
      <c r="A8" s="1285">
        <v>530110</v>
      </c>
      <c r="B8" s="209" t="s">
        <v>713</v>
      </c>
      <c r="C8" s="93"/>
      <c r="D8" s="804">
        <f>SUM(TB!E697,TB!E726)</f>
        <v>3183818.76</v>
      </c>
      <c r="E8" s="496"/>
      <c r="F8" s="497"/>
      <c r="G8" s="151"/>
      <c r="H8" s="151"/>
      <c r="I8" s="909"/>
      <c r="J8" s="447"/>
      <c r="K8" s="527"/>
      <c r="L8" s="443"/>
      <c r="M8" s="443"/>
      <c r="N8" s="447">
        <f>D8-L8+M8</f>
        <v>3183818.76</v>
      </c>
      <c r="O8" s="1047">
        <f>J8-L8+M8</f>
        <v>0</v>
      </c>
      <c r="P8" s="374">
        <v>3108207.78</v>
      </c>
      <c r="Q8" s="385"/>
      <c r="R8" s="499"/>
      <c r="S8" s="499"/>
      <c r="T8" s="499">
        <v>2883003.42</v>
      </c>
      <c r="U8" s="429">
        <f>(N8-T8)/1000</f>
        <v>300.8153399999999</v>
      </c>
      <c r="V8" s="435">
        <f>U8/T8*1000</f>
        <v>0.1043409584300805</v>
      </c>
      <c r="W8" s="1466">
        <f>(D8-P8)/1000</f>
        <v>75.61097999999998</v>
      </c>
      <c r="X8" s="613">
        <f>W8/P8*1000</f>
        <v>0.024326230854489393</v>
      </c>
      <c r="Y8" s="51">
        <v>530110</v>
      </c>
      <c r="Z8" s="51">
        <f>A8-Y8</f>
        <v>0</v>
      </c>
    </row>
    <row r="9" spans="1:26" ht="11.25">
      <c r="A9" s="1285">
        <v>530120</v>
      </c>
      <c r="B9" s="209" t="s">
        <v>714</v>
      </c>
      <c r="C9" s="93"/>
      <c r="D9" s="337">
        <f>SUM(TB!E735,TB!E764)</f>
        <v>573880.31</v>
      </c>
      <c r="E9" s="496"/>
      <c r="F9" s="497"/>
      <c r="G9" s="151"/>
      <c r="H9" s="151"/>
      <c r="I9" s="909"/>
      <c r="J9" s="447"/>
      <c r="K9" s="527"/>
      <c r="L9" s="443"/>
      <c r="M9" s="443"/>
      <c r="N9" s="447">
        <f aca="true" t="shared" si="0" ref="N9:N32">D9-L9+M9</f>
        <v>573880.31</v>
      </c>
      <c r="O9" s="1047">
        <f aca="true" t="shared" si="1" ref="O9:O32">J9-L9+M9</f>
        <v>0</v>
      </c>
      <c r="P9" s="374">
        <v>569767.17</v>
      </c>
      <c r="Q9" s="385"/>
      <c r="R9" s="499"/>
      <c r="S9" s="499"/>
      <c r="T9" s="499">
        <v>477024.02</v>
      </c>
      <c r="U9" s="429">
        <f aca="true" t="shared" si="2" ref="U9:U32">(N9-T9)/1000</f>
        <v>96.85629000000004</v>
      </c>
      <c r="V9" s="435">
        <f aca="true" t="shared" si="3" ref="V9:V32">U9/T9*1000</f>
        <v>0.20304279436494632</v>
      </c>
      <c r="W9" s="1466">
        <f aca="true" t="shared" si="4" ref="W9:W32">(D9-P9)/1000</f>
        <v>4.113140000000014</v>
      </c>
      <c r="X9" s="613">
        <f aca="true" t="shared" si="5" ref="X9:X34">W9/P9*1000</f>
        <v>0.00721898385264987</v>
      </c>
      <c r="Y9" s="51">
        <v>530120</v>
      </c>
      <c r="Z9" s="51">
        <f>A9-Y9</f>
        <v>0</v>
      </c>
    </row>
    <row r="10" spans="1:26" ht="11.25">
      <c r="A10" s="1285">
        <v>530130</v>
      </c>
      <c r="B10" s="209" t="s">
        <v>715</v>
      </c>
      <c r="C10" s="93"/>
      <c r="D10" s="804">
        <f>VLOOKUP(A10,TB!$A:$E,5,FALSE)</f>
        <v>970689.1799999999</v>
      </c>
      <c r="E10" s="496"/>
      <c r="F10" s="497"/>
      <c r="G10" s="151"/>
      <c r="H10" s="151"/>
      <c r="I10" s="909"/>
      <c r="J10" s="447"/>
      <c r="K10" s="527"/>
      <c r="L10" s="443"/>
      <c r="M10" s="443"/>
      <c r="N10" s="447">
        <f t="shared" si="0"/>
        <v>970689.1799999999</v>
      </c>
      <c r="O10" s="1047">
        <f t="shared" si="1"/>
        <v>0</v>
      </c>
      <c r="P10" s="374">
        <v>1181867.92</v>
      </c>
      <c r="Q10" s="385"/>
      <c r="R10" s="499"/>
      <c r="S10" s="499"/>
      <c r="T10" s="499">
        <v>-1024900.71</v>
      </c>
      <c r="U10" s="1466">
        <f t="shared" si="2"/>
        <v>1995.58989</v>
      </c>
      <c r="V10" s="435">
        <f t="shared" si="3"/>
        <v>-1.9471055786467355</v>
      </c>
      <c r="W10" s="610">
        <f t="shared" si="4"/>
        <v>-211.17874</v>
      </c>
      <c r="X10" s="613">
        <f t="shared" si="5"/>
        <v>-0.1786821830310785</v>
      </c>
      <c r="Y10" s="51">
        <v>530130</v>
      </c>
      <c r="Z10" s="51">
        <f>A10-Y10</f>
        <v>0</v>
      </c>
    </row>
    <row r="11" spans="1:24" ht="11.25">
      <c r="A11" s="1285">
        <v>530140</v>
      </c>
      <c r="B11" s="209" t="s">
        <v>716</v>
      </c>
      <c r="C11" s="93"/>
      <c r="D11" s="804">
        <f>VLOOKUP(A11,TB!$A:$E,5,FALSE)</f>
        <v>0</v>
      </c>
      <c r="E11" s="496"/>
      <c r="F11" s="497"/>
      <c r="G11" s="151"/>
      <c r="H11" s="151"/>
      <c r="I11" s="909"/>
      <c r="J11" s="447"/>
      <c r="K11" s="527"/>
      <c r="L11" s="443"/>
      <c r="M11" s="443"/>
      <c r="N11" s="447">
        <f t="shared" si="0"/>
        <v>0</v>
      </c>
      <c r="O11" s="1047">
        <f t="shared" si="1"/>
        <v>0</v>
      </c>
      <c r="P11" s="374">
        <v>0</v>
      </c>
      <c r="Q11" s="385"/>
      <c r="R11" s="499"/>
      <c r="S11" s="499"/>
      <c r="T11" s="499">
        <f>VLOOKUP(A11,'[1]6100-1'!$A$8:$O$54,15,FALSE)</f>
        <v>0</v>
      </c>
      <c r="U11" s="429">
        <f t="shared" si="2"/>
        <v>0</v>
      </c>
      <c r="V11" s="435"/>
      <c r="W11" s="610">
        <f t="shared" si="4"/>
        <v>0</v>
      </c>
      <c r="X11" s="613"/>
    </row>
    <row r="12" spans="1:26" ht="11.25">
      <c r="A12" s="1285">
        <v>530170</v>
      </c>
      <c r="B12" s="209" t="s">
        <v>717</v>
      </c>
      <c r="C12" s="93"/>
      <c r="D12" s="804">
        <f>VLOOKUP(A12,TB!$A:$E,5,FALSE)</f>
        <v>279120</v>
      </c>
      <c r="E12" s="496"/>
      <c r="F12" s="497"/>
      <c r="G12" s="151"/>
      <c r="H12" s="151"/>
      <c r="I12" s="909"/>
      <c r="J12" s="447"/>
      <c r="K12" s="527"/>
      <c r="L12" s="443"/>
      <c r="M12" s="443"/>
      <c r="N12" s="447">
        <f t="shared" si="0"/>
        <v>279120</v>
      </c>
      <c r="O12" s="1047">
        <f t="shared" si="1"/>
        <v>0</v>
      </c>
      <c r="P12" s="374">
        <v>273480</v>
      </c>
      <c r="Q12" s="385"/>
      <c r="R12" s="499"/>
      <c r="S12" s="499"/>
      <c r="T12" s="499">
        <v>232475.07</v>
      </c>
      <c r="U12" s="429">
        <f t="shared" si="2"/>
        <v>46.644929999999995</v>
      </c>
      <c r="V12" s="435">
        <f t="shared" si="3"/>
        <v>0.20064486914661428</v>
      </c>
      <c r="W12" s="610">
        <f t="shared" si="4"/>
        <v>5.64</v>
      </c>
      <c r="X12" s="613">
        <f t="shared" si="5"/>
        <v>0.020623080298376482</v>
      </c>
      <c r="Y12" s="51">
        <v>530170</v>
      </c>
      <c r="Z12" s="51">
        <f aca="true" t="shared" si="6" ref="Z12:Z32">A12-Y12</f>
        <v>0</v>
      </c>
    </row>
    <row r="13" spans="1:26" ht="11.25">
      <c r="A13" s="1285">
        <v>530190</v>
      </c>
      <c r="B13" s="209" t="s">
        <v>484</v>
      </c>
      <c r="C13" s="93"/>
      <c r="D13" s="804">
        <f>VLOOKUP(A13,TB!$A:$E,5,FALSE)</f>
        <v>0</v>
      </c>
      <c r="E13" s="496"/>
      <c r="F13" s="497"/>
      <c r="G13" s="151"/>
      <c r="H13" s="151"/>
      <c r="I13" s="909"/>
      <c r="J13" s="447"/>
      <c r="K13" s="527"/>
      <c r="L13" s="443"/>
      <c r="M13" s="443"/>
      <c r="N13" s="447">
        <f t="shared" si="0"/>
        <v>0</v>
      </c>
      <c r="O13" s="1047">
        <f t="shared" si="1"/>
        <v>0</v>
      </c>
      <c r="P13" s="374">
        <v>0</v>
      </c>
      <c r="Q13" s="385"/>
      <c r="R13" s="499"/>
      <c r="S13" s="501"/>
      <c r="T13" s="499">
        <v>0</v>
      </c>
      <c r="U13" s="429">
        <f t="shared" si="2"/>
        <v>0</v>
      </c>
      <c r="V13" s="435"/>
      <c r="W13" s="610">
        <f t="shared" si="4"/>
        <v>0</v>
      </c>
      <c r="X13" s="613"/>
      <c r="Y13" s="51">
        <v>530190</v>
      </c>
      <c r="Z13" s="51">
        <f t="shared" si="6"/>
        <v>0</v>
      </c>
    </row>
    <row r="14" spans="1:26" ht="11.25">
      <c r="A14" s="1285">
        <v>530180</v>
      </c>
      <c r="B14" s="209" t="s">
        <v>718</v>
      </c>
      <c r="C14" s="93"/>
      <c r="D14" s="804">
        <f>VLOOKUP(A14,TB!$A:$E,5,FALSE)</f>
        <v>59659.19</v>
      </c>
      <c r="E14" s="496"/>
      <c r="F14" s="497"/>
      <c r="G14" s="151"/>
      <c r="H14" s="151"/>
      <c r="I14" s="909"/>
      <c r="J14" s="447"/>
      <c r="K14" s="527"/>
      <c r="L14" s="443"/>
      <c r="M14" s="443"/>
      <c r="N14" s="447">
        <f t="shared" si="0"/>
        <v>59659.19</v>
      </c>
      <c r="O14" s="1047">
        <f t="shared" si="1"/>
        <v>0</v>
      </c>
      <c r="P14" s="374">
        <v>59165.25</v>
      </c>
      <c r="Q14" s="385"/>
      <c r="R14" s="499"/>
      <c r="S14" s="499"/>
      <c r="T14" s="499">
        <v>57096.1</v>
      </c>
      <c r="U14" s="429">
        <f t="shared" si="2"/>
        <v>2.563090000000004</v>
      </c>
      <c r="V14" s="435">
        <f t="shared" si="3"/>
        <v>0.04489080690274824</v>
      </c>
      <c r="W14" s="610">
        <f t="shared" si="4"/>
        <v>0.4939400000000023</v>
      </c>
      <c r="X14" s="613">
        <f t="shared" si="5"/>
        <v>0.008348481583361893</v>
      </c>
      <c r="Y14" s="51">
        <v>530180</v>
      </c>
      <c r="Z14" s="51">
        <f t="shared" si="6"/>
        <v>0</v>
      </c>
    </row>
    <row r="15" spans="1:26" ht="11.25">
      <c r="A15" s="1285">
        <v>530200</v>
      </c>
      <c r="B15" s="209" t="s">
        <v>719</v>
      </c>
      <c r="C15" s="93"/>
      <c r="D15" s="804">
        <f>VLOOKUP(A15,TB!$A:$E,5,FALSE)</f>
        <v>128877.02</v>
      </c>
      <c r="E15" s="496"/>
      <c r="F15" s="497"/>
      <c r="G15" s="151"/>
      <c r="H15" s="151"/>
      <c r="I15" s="909"/>
      <c r="J15" s="447"/>
      <c r="K15" s="527"/>
      <c r="L15" s="443"/>
      <c r="M15" s="443"/>
      <c r="N15" s="447">
        <f t="shared" si="0"/>
        <v>128877.02</v>
      </c>
      <c r="O15" s="1047">
        <f t="shared" si="1"/>
        <v>0</v>
      </c>
      <c r="P15" s="374">
        <v>124480.4</v>
      </c>
      <c r="Q15" s="385"/>
      <c r="R15" s="499"/>
      <c r="S15" s="499"/>
      <c r="T15" s="499">
        <v>113538.58</v>
      </c>
      <c r="U15" s="429">
        <f t="shared" si="2"/>
        <v>15.338440000000002</v>
      </c>
      <c r="V15" s="435">
        <f t="shared" si="3"/>
        <v>0.13509452029433522</v>
      </c>
      <c r="W15" s="610">
        <f t="shared" si="4"/>
        <v>4.39662000000001</v>
      </c>
      <c r="X15" s="613">
        <f t="shared" si="5"/>
        <v>0.03531977725007319</v>
      </c>
      <c r="Y15" s="51">
        <v>530200</v>
      </c>
      <c r="Z15" s="51">
        <f t="shared" si="6"/>
        <v>0</v>
      </c>
    </row>
    <row r="16" spans="1:26" ht="11.25">
      <c r="A16" s="1285">
        <v>530201</v>
      </c>
      <c r="B16" s="209" t="s">
        <v>720</v>
      </c>
      <c r="C16" s="93"/>
      <c r="D16" s="804">
        <f>VLOOKUP(A16,TB!$A:$E,5,FALSE)</f>
        <v>73940.33</v>
      </c>
      <c r="E16" s="496"/>
      <c r="F16" s="497"/>
      <c r="G16" s="151"/>
      <c r="H16" s="151"/>
      <c r="I16" s="909"/>
      <c r="J16" s="447"/>
      <c r="K16" s="527"/>
      <c r="L16" s="443"/>
      <c r="M16" s="443"/>
      <c r="N16" s="447">
        <f t="shared" si="0"/>
        <v>73940.33</v>
      </c>
      <c r="O16" s="1047">
        <f t="shared" si="1"/>
        <v>0</v>
      </c>
      <c r="P16" s="374">
        <v>61386.48</v>
      </c>
      <c r="Q16" s="385"/>
      <c r="R16" s="499"/>
      <c r="S16" s="499"/>
      <c r="T16" s="499">
        <v>62411.03</v>
      </c>
      <c r="U16" s="429">
        <f t="shared" si="2"/>
        <v>11.529300000000003</v>
      </c>
      <c r="V16" s="435">
        <f t="shared" si="3"/>
        <v>0.18473176936833127</v>
      </c>
      <c r="W16" s="610">
        <f t="shared" si="4"/>
        <v>12.553849999999999</v>
      </c>
      <c r="X16" s="613">
        <f t="shared" si="5"/>
        <v>0.20450512881663843</v>
      </c>
      <c r="Y16" s="51">
        <v>530201</v>
      </c>
      <c r="Z16" s="51">
        <f t="shared" si="6"/>
        <v>0</v>
      </c>
    </row>
    <row r="17" spans="1:26" ht="11.25">
      <c r="A17" s="1285">
        <v>530210</v>
      </c>
      <c r="B17" s="209" t="s">
        <v>721</v>
      </c>
      <c r="C17" s="93"/>
      <c r="D17" s="804">
        <f>VLOOKUP(A17,TB!$A:$E,5,FALSE)</f>
        <v>828441.2800000001</v>
      </c>
      <c r="E17" s="496"/>
      <c r="F17" s="497"/>
      <c r="G17" s="151"/>
      <c r="H17" s="151"/>
      <c r="I17" s="909"/>
      <c r="J17" s="447"/>
      <c r="K17" s="527"/>
      <c r="L17" s="443"/>
      <c r="M17" s="443"/>
      <c r="N17" s="447">
        <f t="shared" si="0"/>
        <v>828441.2800000001</v>
      </c>
      <c r="O17" s="1047">
        <f t="shared" si="1"/>
        <v>0</v>
      </c>
      <c r="P17" s="374">
        <v>767631.41</v>
      </c>
      <c r="Q17" s="385"/>
      <c r="R17" s="499"/>
      <c r="S17" s="499"/>
      <c r="T17" s="499">
        <v>759864.81</v>
      </c>
      <c r="U17" s="429">
        <f t="shared" si="2"/>
        <v>68.57647000000009</v>
      </c>
      <c r="V17" s="435">
        <f t="shared" si="3"/>
        <v>0.09024825086978311</v>
      </c>
      <c r="W17" s="610">
        <f t="shared" si="4"/>
        <v>60.80987000000011</v>
      </c>
      <c r="X17" s="613">
        <f t="shared" si="5"/>
        <v>0.07921753748977013</v>
      </c>
      <c r="Y17" s="51">
        <v>530210</v>
      </c>
      <c r="Z17" s="51">
        <f t="shared" si="6"/>
        <v>0</v>
      </c>
    </row>
    <row r="18" spans="1:26" ht="11.25">
      <c r="A18" s="1285">
        <v>530230</v>
      </c>
      <c r="B18" s="209" t="s">
        <v>722</v>
      </c>
      <c r="C18" s="93"/>
      <c r="D18" s="804">
        <f>VLOOKUP(A18,TB!$A:$E,5,FALSE)</f>
        <v>475892.5</v>
      </c>
      <c r="E18" s="496"/>
      <c r="F18" s="497"/>
      <c r="G18" s="151"/>
      <c r="H18" s="151"/>
      <c r="I18" s="909"/>
      <c r="J18" s="447"/>
      <c r="K18" s="527"/>
      <c r="L18" s="443"/>
      <c r="M18" s="443"/>
      <c r="N18" s="447">
        <f t="shared" si="0"/>
        <v>475892.5</v>
      </c>
      <c r="O18" s="1047">
        <f t="shared" si="1"/>
        <v>0</v>
      </c>
      <c r="P18" s="374">
        <v>497845</v>
      </c>
      <c r="Q18" s="385"/>
      <c r="R18" s="499"/>
      <c r="S18" s="499"/>
      <c r="T18" s="499">
        <v>414841.49</v>
      </c>
      <c r="U18" s="429">
        <f t="shared" si="2"/>
        <v>61.05101000000001</v>
      </c>
      <c r="V18" s="435">
        <f t="shared" si="3"/>
        <v>0.14716707820136316</v>
      </c>
      <c r="W18" s="610">
        <f t="shared" si="4"/>
        <v>-21.9525</v>
      </c>
      <c r="X18" s="613">
        <f t="shared" si="5"/>
        <v>-0.04409504966405206</v>
      </c>
      <c r="Y18" s="51">
        <v>530230</v>
      </c>
      <c r="Z18" s="51">
        <f t="shared" si="6"/>
        <v>0</v>
      </c>
    </row>
    <row r="19" spans="1:26" ht="11.25">
      <c r="A19" s="1285">
        <v>530250</v>
      </c>
      <c r="B19" s="209" t="s">
        <v>723</v>
      </c>
      <c r="C19" s="93"/>
      <c r="D19" s="804">
        <f>VLOOKUP(A19,TB!$A:$E,5,FALSE)</f>
        <v>179502</v>
      </c>
      <c r="E19" s="496"/>
      <c r="F19" s="497"/>
      <c r="G19" s="151"/>
      <c r="H19" s="151"/>
      <c r="I19" s="909"/>
      <c r="J19" s="447"/>
      <c r="K19" s="527"/>
      <c r="L19" s="443"/>
      <c r="M19" s="443"/>
      <c r="N19" s="447">
        <f t="shared" si="0"/>
        <v>179502</v>
      </c>
      <c r="O19" s="1047">
        <f t="shared" si="1"/>
        <v>0</v>
      </c>
      <c r="P19" s="374">
        <v>199245</v>
      </c>
      <c r="Q19" s="385"/>
      <c r="R19" s="499"/>
      <c r="S19" s="499"/>
      <c r="T19" s="499">
        <v>0</v>
      </c>
      <c r="U19" s="429">
        <f t="shared" si="2"/>
        <v>179.502</v>
      </c>
      <c r="V19" s="435">
        <v>1</v>
      </c>
      <c r="W19" s="610">
        <f t="shared" si="4"/>
        <v>-19.743</v>
      </c>
      <c r="X19" s="613">
        <f t="shared" si="5"/>
        <v>-0.09908906120605283</v>
      </c>
      <c r="Y19" s="51">
        <v>530250</v>
      </c>
      <c r="Z19" s="51">
        <f t="shared" si="6"/>
        <v>0</v>
      </c>
    </row>
    <row r="20" spans="1:26" ht="11.25">
      <c r="A20" s="1285">
        <v>530260</v>
      </c>
      <c r="B20" s="209" t="s">
        <v>724</v>
      </c>
      <c r="C20" s="93"/>
      <c r="D20" s="804">
        <f>VLOOKUP(A20,TB!$A:$E,5,FALSE)</f>
        <v>373739</v>
      </c>
      <c r="E20" s="496"/>
      <c r="F20" s="497"/>
      <c r="G20" s="151"/>
      <c r="H20" s="151"/>
      <c r="I20" s="909"/>
      <c r="J20" s="447"/>
      <c r="K20" s="527"/>
      <c r="L20" s="443"/>
      <c r="M20" s="443"/>
      <c r="N20" s="447">
        <f t="shared" si="0"/>
        <v>373739</v>
      </c>
      <c r="O20" s="1047">
        <f t="shared" si="1"/>
        <v>0</v>
      </c>
      <c r="P20" s="374">
        <v>369817</v>
      </c>
      <c r="Q20" s="385"/>
      <c r="R20" s="499"/>
      <c r="S20" s="499"/>
      <c r="T20" s="499">
        <v>338967.02</v>
      </c>
      <c r="U20" s="429">
        <f t="shared" si="2"/>
        <v>34.77197999999998</v>
      </c>
      <c r="V20" s="435">
        <f t="shared" si="3"/>
        <v>0.10258219221445194</v>
      </c>
      <c r="W20" s="610">
        <f t="shared" si="4"/>
        <v>3.922</v>
      </c>
      <c r="X20" s="613">
        <f t="shared" si="5"/>
        <v>0.010605245296998245</v>
      </c>
      <c r="Y20" s="51">
        <v>530260</v>
      </c>
      <c r="Z20" s="51">
        <f t="shared" si="6"/>
        <v>0</v>
      </c>
    </row>
    <row r="21" spans="1:26" ht="11.25">
      <c r="A21" s="1285">
        <v>530261</v>
      </c>
      <c r="B21" s="209" t="s">
        <v>725</v>
      </c>
      <c r="C21" s="93"/>
      <c r="D21" s="804">
        <f>VLOOKUP(A21,TB!$A:$E,5,FALSE)</f>
        <v>376540.75</v>
      </c>
      <c r="E21" s="496"/>
      <c r="F21" s="497"/>
      <c r="G21" s="151"/>
      <c r="H21" s="151"/>
      <c r="I21" s="909"/>
      <c r="J21" s="447"/>
      <c r="K21" s="527"/>
      <c r="L21" s="443"/>
      <c r="M21" s="443"/>
      <c r="N21" s="447">
        <f t="shared" si="0"/>
        <v>376540.75</v>
      </c>
      <c r="O21" s="1047">
        <f t="shared" si="1"/>
        <v>0</v>
      </c>
      <c r="P21" s="374">
        <v>351875</v>
      </c>
      <c r="Q21" s="385"/>
      <c r="R21" s="499"/>
      <c r="S21" s="499"/>
      <c r="T21" s="499">
        <v>333331</v>
      </c>
      <c r="U21" s="429">
        <f t="shared" si="2"/>
        <v>43.20975</v>
      </c>
      <c r="V21" s="435">
        <f t="shared" si="3"/>
        <v>0.1296301574111019</v>
      </c>
      <c r="W21" s="610">
        <f t="shared" si="4"/>
        <v>24.66575</v>
      </c>
      <c r="X21" s="613">
        <f t="shared" si="5"/>
        <v>0.0700980461811723</v>
      </c>
      <c r="Y21" s="51">
        <v>530261</v>
      </c>
      <c r="Z21" s="51">
        <f t="shared" si="6"/>
        <v>0</v>
      </c>
    </row>
    <row r="22" spans="1:26" ht="11.25">
      <c r="A22" s="1285">
        <v>530270</v>
      </c>
      <c r="B22" s="209" t="s">
        <v>726</v>
      </c>
      <c r="C22" s="93"/>
      <c r="D22" s="804">
        <f>VLOOKUP(A22,TB!$A:$E,5,FALSE)</f>
        <v>319764.5</v>
      </c>
      <c r="E22" s="496"/>
      <c r="F22" s="497"/>
      <c r="G22" s="151"/>
      <c r="H22" s="151"/>
      <c r="I22" s="909"/>
      <c r="J22" s="447"/>
      <c r="K22" s="527"/>
      <c r="L22" s="443"/>
      <c r="M22" s="443"/>
      <c r="N22" s="447">
        <f t="shared" si="0"/>
        <v>319764.5</v>
      </c>
      <c r="O22" s="1047">
        <f t="shared" si="1"/>
        <v>0</v>
      </c>
      <c r="P22" s="374">
        <v>336524</v>
      </c>
      <c r="Q22" s="385"/>
      <c r="R22" s="499"/>
      <c r="S22" s="499"/>
      <c r="T22" s="499">
        <v>103929.12</v>
      </c>
      <c r="U22" s="429">
        <f t="shared" si="2"/>
        <v>215.83538000000001</v>
      </c>
      <c r="V22" s="435">
        <f t="shared" si="3"/>
        <v>2.0767555811114344</v>
      </c>
      <c r="W22" s="610">
        <f t="shared" si="4"/>
        <v>-16.7595</v>
      </c>
      <c r="X22" s="613">
        <f t="shared" si="5"/>
        <v>-0.04980179719722813</v>
      </c>
      <c r="Y22" s="51">
        <v>530270</v>
      </c>
      <c r="Z22" s="51">
        <f t="shared" si="6"/>
        <v>0</v>
      </c>
    </row>
    <row r="23" spans="1:26" ht="11.25">
      <c r="A23" s="1285">
        <v>530300</v>
      </c>
      <c r="B23" s="209" t="s">
        <v>727</v>
      </c>
      <c r="C23" s="93"/>
      <c r="D23" s="804">
        <f>VLOOKUP(A23,TB!$A:$E,5,FALSE)</f>
        <v>0</v>
      </c>
      <c r="E23" s="496"/>
      <c r="F23" s="497"/>
      <c r="G23" s="151"/>
      <c r="H23" s="151"/>
      <c r="I23" s="909"/>
      <c r="J23" s="447"/>
      <c r="K23" s="527"/>
      <c r="L23" s="443"/>
      <c r="M23" s="443"/>
      <c r="N23" s="447">
        <f t="shared" si="0"/>
        <v>0</v>
      </c>
      <c r="O23" s="1047">
        <f t="shared" si="1"/>
        <v>0</v>
      </c>
      <c r="P23" s="374">
        <v>3000</v>
      </c>
      <c r="Q23" s="385"/>
      <c r="R23" s="499"/>
      <c r="S23" s="499"/>
      <c r="T23" s="499">
        <v>60000</v>
      </c>
      <c r="U23" s="429">
        <f t="shared" si="2"/>
        <v>-60</v>
      </c>
      <c r="V23" s="435">
        <f t="shared" si="3"/>
        <v>-1</v>
      </c>
      <c r="W23" s="610">
        <f t="shared" si="4"/>
        <v>-3</v>
      </c>
      <c r="X23" s="613"/>
      <c r="Y23" s="51">
        <v>530300</v>
      </c>
      <c r="Z23" s="51">
        <f t="shared" si="6"/>
        <v>0</v>
      </c>
    </row>
    <row r="24" spans="1:26" ht="11.25">
      <c r="A24" s="1285">
        <v>530310</v>
      </c>
      <c r="B24" s="209" t="s">
        <v>728</v>
      </c>
      <c r="C24" s="93"/>
      <c r="D24" s="804">
        <f>VLOOKUP(A24,TB!$A:$E,5,FALSE)</f>
        <v>3502.7000000000003</v>
      </c>
      <c r="E24" s="496"/>
      <c r="F24" s="497"/>
      <c r="G24" s="151"/>
      <c r="H24" s="151"/>
      <c r="I24" s="909"/>
      <c r="J24" s="447"/>
      <c r="K24" s="527"/>
      <c r="L24" s="443"/>
      <c r="M24" s="443"/>
      <c r="N24" s="447">
        <f t="shared" si="0"/>
        <v>3502.7000000000003</v>
      </c>
      <c r="O24" s="1047">
        <f t="shared" si="1"/>
        <v>0</v>
      </c>
      <c r="P24" s="374">
        <v>2950</v>
      </c>
      <c r="Q24" s="385"/>
      <c r="R24" s="499"/>
      <c r="S24" s="499"/>
      <c r="T24" s="499">
        <v>836.52</v>
      </c>
      <c r="U24" s="429">
        <f t="shared" si="2"/>
        <v>2.66618</v>
      </c>
      <c r="V24" s="435">
        <f t="shared" si="3"/>
        <v>3.1872280399751354</v>
      </c>
      <c r="W24" s="610">
        <f t="shared" si="4"/>
        <v>0.5527000000000003</v>
      </c>
      <c r="X24" s="613">
        <f t="shared" si="5"/>
        <v>0.18735593220338995</v>
      </c>
      <c r="Y24" s="51">
        <v>530310</v>
      </c>
      <c r="Z24" s="51">
        <f t="shared" si="6"/>
        <v>0</v>
      </c>
    </row>
    <row r="25" spans="1:26" s="120" customFormat="1" ht="11.25">
      <c r="A25" s="1286">
        <v>530330</v>
      </c>
      <c r="B25" s="238" t="s">
        <v>729</v>
      </c>
      <c r="C25" s="377"/>
      <c r="D25" s="804">
        <f>VLOOKUP(A25,TB!$A:$E,5,FALSE)</f>
        <v>653411.01</v>
      </c>
      <c r="E25" s="496"/>
      <c r="F25" s="497"/>
      <c r="G25" s="151"/>
      <c r="H25" s="151"/>
      <c r="I25" s="909"/>
      <c r="J25" s="447"/>
      <c r="K25" s="527"/>
      <c r="L25" s="443"/>
      <c r="M25" s="443"/>
      <c r="N25" s="447">
        <f t="shared" si="0"/>
        <v>653411.01</v>
      </c>
      <c r="O25" s="1047">
        <f t="shared" si="1"/>
        <v>0</v>
      </c>
      <c r="P25" s="374">
        <v>648001.08</v>
      </c>
      <c r="Q25" s="374"/>
      <c r="R25" s="503"/>
      <c r="S25" s="503"/>
      <c r="T25" s="499">
        <v>566498.81</v>
      </c>
      <c r="U25" s="429">
        <f t="shared" si="2"/>
        <v>86.91219999999996</v>
      </c>
      <c r="V25" s="435">
        <f t="shared" si="3"/>
        <v>0.1534199162748461</v>
      </c>
      <c r="W25" s="610">
        <f t="shared" si="4"/>
        <v>5.409930000000052</v>
      </c>
      <c r="X25" s="613">
        <f t="shared" si="5"/>
        <v>0.008348643493001665</v>
      </c>
      <c r="Y25" s="51">
        <v>530330</v>
      </c>
      <c r="Z25" s="51">
        <f t="shared" si="6"/>
        <v>0</v>
      </c>
    </row>
    <row r="26" spans="1:26" s="120" customFormat="1" ht="11.25">
      <c r="A26" s="1286">
        <v>530500</v>
      </c>
      <c r="B26" s="238" t="s">
        <v>730</v>
      </c>
      <c r="C26" s="377"/>
      <c r="D26" s="804">
        <f>VLOOKUP(A26,TB!$A:$E,5,FALSE)</f>
        <v>2841734.5</v>
      </c>
      <c r="E26" s="496"/>
      <c r="F26" s="497"/>
      <c r="G26" s="151"/>
      <c r="H26" s="151"/>
      <c r="I26" s="909"/>
      <c r="J26" s="447"/>
      <c r="K26" s="527"/>
      <c r="L26" s="443"/>
      <c r="M26" s="443"/>
      <c r="N26" s="447">
        <f t="shared" si="0"/>
        <v>2841734.5</v>
      </c>
      <c r="O26" s="1047">
        <f t="shared" si="1"/>
        <v>0</v>
      </c>
      <c r="P26" s="374">
        <v>2225535.63</v>
      </c>
      <c r="Q26" s="374"/>
      <c r="R26" s="503"/>
      <c r="S26" s="503"/>
      <c r="T26" s="499">
        <v>2671780.82</v>
      </c>
      <c r="U26" s="429">
        <f t="shared" si="2"/>
        <v>169.95368000000016</v>
      </c>
      <c r="V26" s="435">
        <f t="shared" si="3"/>
        <v>0.06361063704319884</v>
      </c>
      <c r="W26" s="610">
        <f>(D26-P26)/1000</f>
        <v>616.19887</v>
      </c>
      <c r="X26" s="613">
        <f t="shared" si="5"/>
        <v>0.2768766591258753</v>
      </c>
      <c r="Y26" s="120">
        <v>530500</v>
      </c>
      <c r="Z26" s="51">
        <f t="shared" si="6"/>
        <v>0</v>
      </c>
    </row>
    <row r="27" spans="1:26" s="120" customFormat="1" ht="11.25">
      <c r="A27" s="1286">
        <v>530340</v>
      </c>
      <c r="B27" s="238" t="s">
        <v>732</v>
      </c>
      <c r="C27" s="377"/>
      <c r="D27" s="804">
        <f>VLOOKUP(A27,TB!$A:$E,5,FALSE)</f>
        <v>5081794.23</v>
      </c>
      <c r="E27" s="496"/>
      <c r="F27" s="497"/>
      <c r="G27" s="151"/>
      <c r="H27" s="151"/>
      <c r="I27" s="909"/>
      <c r="J27" s="447"/>
      <c r="K27" s="527"/>
      <c r="L27" s="443"/>
      <c r="M27" s="443"/>
      <c r="N27" s="447">
        <f t="shared" si="0"/>
        <v>5081794.23</v>
      </c>
      <c r="O27" s="1047">
        <f t="shared" si="1"/>
        <v>0</v>
      </c>
      <c r="P27" s="374">
        <v>5677276.3</v>
      </c>
      <c r="Q27" s="374"/>
      <c r="R27" s="503"/>
      <c r="S27" s="503"/>
      <c r="T27" s="499">
        <v>3998693.72</v>
      </c>
      <c r="U27" s="429">
        <f t="shared" si="2"/>
        <v>1083.1005100000002</v>
      </c>
      <c r="V27" s="435">
        <f t="shared" si="3"/>
        <v>0.27086358342043765</v>
      </c>
      <c r="W27" s="610">
        <f t="shared" si="4"/>
        <v>-595.4820699999993</v>
      </c>
      <c r="X27" s="613">
        <f t="shared" si="5"/>
        <v>-0.10488868931744601</v>
      </c>
      <c r="Y27" s="120">
        <v>530340</v>
      </c>
      <c r="Z27" s="51">
        <f t="shared" si="6"/>
        <v>0</v>
      </c>
    </row>
    <row r="28" spans="1:26" s="120" customFormat="1" ht="11.25">
      <c r="A28" s="1286">
        <v>530350</v>
      </c>
      <c r="B28" s="238" t="s">
        <v>733</v>
      </c>
      <c r="C28" s="377"/>
      <c r="D28" s="804">
        <f>VLOOKUP(A28,TB!$A:$E,5,FALSE)</f>
        <v>0</v>
      </c>
      <c r="E28" s="496"/>
      <c r="F28" s="497"/>
      <c r="G28" s="151"/>
      <c r="H28" s="151"/>
      <c r="I28" s="909"/>
      <c r="J28" s="447"/>
      <c r="K28" s="527"/>
      <c r="L28" s="443"/>
      <c r="M28" s="443"/>
      <c r="N28" s="447">
        <f t="shared" si="0"/>
        <v>0</v>
      </c>
      <c r="O28" s="1047">
        <f t="shared" si="1"/>
        <v>0</v>
      </c>
      <c r="P28" s="374">
        <v>25803.49</v>
      </c>
      <c r="Q28" s="374"/>
      <c r="R28" s="503"/>
      <c r="S28" s="503"/>
      <c r="T28" s="499">
        <v>19185.87</v>
      </c>
      <c r="U28" s="429">
        <f t="shared" si="2"/>
        <v>-19.185869999999998</v>
      </c>
      <c r="V28" s="435">
        <f t="shared" si="3"/>
        <v>-1</v>
      </c>
      <c r="W28" s="610">
        <f t="shared" si="4"/>
        <v>-25.80349</v>
      </c>
      <c r="X28" s="613">
        <f t="shared" si="5"/>
        <v>-1</v>
      </c>
      <c r="Y28" s="120">
        <v>530350</v>
      </c>
      <c r="Z28" s="51">
        <f t="shared" si="6"/>
        <v>0</v>
      </c>
    </row>
    <row r="29" spans="1:26" s="120" customFormat="1" ht="11.25">
      <c r="A29" s="1286">
        <v>530360</v>
      </c>
      <c r="B29" s="238" t="s">
        <v>734</v>
      </c>
      <c r="C29" s="377"/>
      <c r="D29" s="804">
        <f>VLOOKUP(A29,TB!$A:$E,5,FALSE)</f>
        <v>1453427.88</v>
      </c>
      <c r="E29" s="496"/>
      <c r="F29" s="497"/>
      <c r="G29" s="151"/>
      <c r="H29" s="151"/>
      <c r="I29" s="909"/>
      <c r="J29" s="447"/>
      <c r="K29" s="527"/>
      <c r="L29" s="443"/>
      <c r="M29" s="443"/>
      <c r="N29" s="447">
        <f t="shared" si="0"/>
        <v>1453427.88</v>
      </c>
      <c r="O29" s="1047">
        <f t="shared" si="1"/>
        <v>0</v>
      </c>
      <c r="P29" s="374">
        <v>1240304.11</v>
      </c>
      <c r="Q29" s="374"/>
      <c r="R29" s="503"/>
      <c r="S29" s="503"/>
      <c r="T29" s="499">
        <v>1302293.06</v>
      </c>
      <c r="U29" s="429">
        <f t="shared" si="2"/>
        <v>151.13481999999982</v>
      </c>
      <c r="V29" s="435">
        <f t="shared" si="3"/>
        <v>0.11605284911830814</v>
      </c>
      <c r="W29" s="610">
        <f t="shared" si="4"/>
        <v>213.12376999999978</v>
      </c>
      <c r="X29" s="613">
        <f t="shared" si="5"/>
        <v>0.17183186629930602</v>
      </c>
      <c r="Y29" s="120">
        <v>530360</v>
      </c>
      <c r="Z29" s="51">
        <f t="shared" si="6"/>
        <v>0</v>
      </c>
    </row>
    <row r="30" spans="1:26" ht="11.25">
      <c r="A30" s="1285">
        <v>422201</v>
      </c>
      <c r="B30" s="209" t="s">
        <v>735</v>
      </c>
      <c r="C30" s="93"/>
      <c r="D30" s="804">
        <f>VLOOKUP(A30,TB!$A:$E,5,FALSE)</f>
        <v>-387135</v>
      </c>
      <c r="E30" s="496"/>
      <c r="F30" s="497"/>
      <c r="G30" s="151"/>
      <c r="H30" s="151"/>
      <c r="I30" s="151"/>
      <c r="J30" s="447"/>
      <c r="K30" s="527"/>
      <c r="L30" s="443"/>
      <c r="M30" s="443"/>
      <c r="N30" s="447">
        <f t="shared" si="0"/>
        <v>-387135</v>
      </c>
      <c r="O30" s="1047">
        <f t="shared" si="1"/>
        <v>0</v>
      </c>
      <c r="P30" s="374">
        <v>-204375.2</v>
      </c>
      <c r="Q30" s="385"/>
      <c r="R30" s="499"/>
      <c r="S30" s="499"/>
      <c r="T30" s="499">
        <v>-206392</v>
      </c>
      <c r="U30" s="429">
        <f t="shared" si="2"/>
        <v>-180.743</v>
      </c>
      <c r="V30" s="435">
        <f t="shared" si="3"/>
        <v>0.8757267723555177</v>
      </c>
      <c r="W30" s="610">
        <f t="shared" si="4"/>
        <v>-182.75979999999998</v>
      </c>
      <c r="X30" s="613">
        <f t="shared" si="5"/>
        <v>0.8942366784228222</v>
      </c>
      <c r="Y30" s="120">
        <v>422201</v>
      </c>
      <c r="Z30" s="51">
        <f t="shared" si="6"/>
        <v>0</v>
      </c>
    </row>
    <row r="31" spans="1:26" ht="11.25">
      <c r="A31" s="1285">
        <v>422202</v>
      </c>
      <c r="B31" s="209" t="s">
        <v>742</v>
      </c>
      <c r="C31" s="93"/>
      <c r="D31" s="804">
        <f>VLOOKUP(A31,TB!$A:$E,5,FALSE)</f>
        <v>0</v>
      </c>
      <c r="E31" s="496"/>
      <c r="F31" s="497"/>
      <c r="G31" s="151"/>
      <c r="H31" s="151"/>
      <c r="I31" s="151"/>
      <c r="J31" s="447"/>
      <c r="K31" s="527"/>
      <c r="L31" s="443"/>
      <c r="M31" s="443"/>
      <c r="N31" s="447">
        <f t="shared" si="0"/>
        <v>0</v>
      </c>
      <c r="O31" s="1047">
        <f t="shared" si="1"/>
        <v>0</v>
      </c>
      <c r="P31" s="374">
        <v>0</v>
      </c>
      <c r="Q31" s="385"/>
      <c r="R31" s="499"/>
      <c r="S31" s="499"/>
      <c r="T31" s="499">
        <v>180</v>
      </c>
      <c r="U31" s="429">
        <f t="shared" si="2"/>
        <v>-0.18</v>
      </c>
      <c r="V31" s="435"/>
      <c r="W31" s="610">
        <f t="shared" si="4"/>
        <v>0</v>
      </c>
      <c r="X31" s="613"/>
      <c r="Y31" s="51">
        <v>422202</v>
      </c>
      <c r="Z31" s="51">
        <f t="shared" si="6"/>
        <v>0</v>
      </c>
    </row>
    <row r="32" spans="1:26" ht="11.25">
      <c r="A32" s="1285">
        <v>530370</v>
      </c>
      <c r="B32" s="209" t="s">
        <v>743</v>
      </c>
      <c r="C32" s="93"/>
      <c r="D32" s="804">
        <f>VLOOKUP(A32,TB!$A:$E,5,FALSE)</f>
        <v>101199.68</v>
      </c>
      <c r="E32" s="496"/>
      <c r="F32" s="497"/>
      <c r="G32" s="151"/>
      <c r="H32" s="151"/>
      <c r="I32" s="151"/>
      <c r="J32" s="447"/>
      <c r="K32" s="527"/>
      <c r="L32" s="443"/>
      <c r="M32" s="443"/>
      <c r="N32" s="447">
        <f t="shared" si="0"/>
        <v>101199.68</v>
      </c>
      <c r="O32" s="1047">
        <f t="shared" si="1"/>
        <v>0</v>
      </c>
      <c r="P32" s="374">
        <v>44093</v>
      </c>
      <c r="Q32" s="385"/>
      <c r="R32" s="499"/>
      <c r="S32" s="499"/>
      <c r="T32" s="499">
        <v>49978.09</v>
      </c>
      <c r="U32" s="429">
        <f t="shared" si="2"/>
        <v>51.22159</v>
      </c>
      <c r="V32" s="435">
        <f t="shared" si="3"/>
        <v>1.0248809028116121</v>
      </c>
      <c r="W32" s="610">
        <f t="shared" si="4"/>
        <v>57.10667999999999</v>
      </c>
      <c r="X32" s="613">
        <f t="shared" si="5"/>
        <v>1.2951416324586666</v>
      </c>
      <c r="Y32" s="51">
        <v>530370</v>
      </c>
      <c r="Z32" s="51">
        <f t="shared" si="6"/>
        <v>0</v>
      </c>
    </row>
    <row r="33" spans="1:24" ht="11.25">
      <c r="A33" s="92"/>
      <c r="B33" s="209"/>
      <c r="C33" s="93"/>
      <c r="D33" s="495"/>
      <c r="E33" s="505"/>
      <c r="F33" s="506"/>
      <c r="G33" s="153"/>
      <c r="H33" s="153"/>
      <c r="I33" s="153"/>
      <c r="J33" s="151"/>
      <c r="K33" s="895"/>
      <c r="L33" s="152"/>
      <c r="M33" s="498"/>
      <c r="N33" s="502"/>
      <c r="O33" s="1048"/>
      <c r="P33" s="374"/>
      <c r="Q33" s="385"/>
      <c r="R33" s="499"/>
      <c r="S33" s="499"/>
      <c r="T33" s="499"/>
      <c r="U33" s="429"/>
      <c r="V33" s="435"/>
      <c r="W33" s="610"/>
      <c r="X33" s="613"/>
    </row>
    <row r="34" spans="1:24" s="3" customFormat="1" ht="11.25">
      <c r="A34" s="525"/>
      <c r="B34" s="236" t="s">
        <v>736</v>
      </c>
      <c r="C34" s="95"/>
      <c r="D34" s="526">
        <f>SUM(D8:D33)</f>
        <v>17571799.82</v>
      </c>
      <c r="E34" s="526">
        <f aca="true" t="shared" si="7" ref="E34:J34">SUM(E8:E33)</f>
        <v>0</v>
      </c>
      <c r="F34" s="526">
        <f t="shared" si="7"/>
        <v>0</v>
      </c>
      <c r="G34" s="526">
        <f t="shared" si="7"/>
        <v>0</v>
      </c>
      <c r="H34" s="526">
        <f t="shared" si="7"/>
        <v>0</v>
      </c>
      <c r="I34" s="295">
        <f t="shared" si="7"/>
        <v>0</v>
      </c>
      <c r="J34" s="295">
        <f t="shared" si="7"/>
        <v>0</v>
      </c>
      <c r="K34" s="295"/>
      <c r="L34" s="295">
        <f>SUM(L8:L33)</f>
        <v>0</v>
      </c>
      <c r="M34" s="295">
        <f>SUM(M8:M33)</f>
        <v>0</v>
      </c>
      <c r="N34" s="508">
        <f>SUM(N8:N32)</f>
        <v>17571799.82</v>
      </c>
      <c r="O34" s="508">
        <f>SUM(O8:O33)</f>
        <v>0</v>
      </c>
      <c r="P34" s="334">
        <v>17563880.820000004</v>
      </c>
      <c r="Q34" s="334">
        <f>SUM(Q8:Q32)</f>
        <v>0</v>
      </c>
      <c r="R34" s="517">
        <f>SUM(R8:R32)</f>
        <v>0</v>
      </c>
      <c r="S34" s="334">
        <f>SUM(S8:S32)</f>
        <v>0</v>
      </c>
      <c r="T34" s="334">
        <f>SUM(T8:T32)</f>
        <v>13214635.84</v>
      </c>
      <c r="U34" s="430">
        <f>(N34-T34)/1000</f>
        <v>4357.16398</v>
      </c>
      <c r="V34" s="436">
        <f>U34/T34*1000</f>
        <v>0.3297225918864216</v>
      </c>
      <c r="W34" s="979">
        <f>(D34-P34)/1000</f>
        <v>7.918999999996275</v>
      </c>
      <c r="X34" s="978">
        <f t="shared" si="5"/>
        <v>0.0004508684658676859</v>
      </c>
    </row>
    <row r="35" spans="1:24" ht="11.25">
      <c r="A35" s="92"/>
      <c r="B35" s="237"/>
      <c r="C35" s="249"/>
      <c r="D35" s="510"/>
      <c r="E35" s="510"/>
      <c r="F35" s="510"/>
      <c r="G35" s="511"/>
      <c r="H35" s="511"/>
      <c r="I35" s="660"/>
      <c r="J35" s="660"/>
      <c r="K35" s="1052"/>
      <c r="L35" s="302"/>
      <c r="M35" s="498"/>
      <c r="N35" s="502"/>
      <c r="O35" s="1048"/>
      <c r="P35" s="1049"/>
      <c r="Q35" s="512"/>
      <c r="R35" s="513"/>
      <c r="S35" s="513"/>
      <c r="T35" s="513"/>
      <c r="U35" s="432"/>
      <c r="V35" s="438"/>
      <c r="W35" s="926"/>
      <c r="X35" s="438"/>
    </row>
    <row r="36" spans="1:24" ht="11.25">
      <c r="A36" s="92"/>
      <c r="B36" s="237"/>
      <c r="C36" s="249"/>
      <c r="D36" s="510"/>
      <c r="E36" s="510"/>
      <c r="F36" s="510"/>
      <c r="G36" s="660"/>
      <c r="H36" s="511"/>
      <c r="I36" s="660"/>
      <c r="J36" s="660"/>
      <c r="K36" s="1052"/>
      <c r="L36" s="302"/>
      <c r="M36" s="498"/>
      <c r="N36" s="502"/>
      <c r="O36" s="1048"/>
      <c r="P36" s="1049"/>
      <c r="Q36" s="512"/>
      <c r="R36" s="513"/>
      <c r="S36" s="513"/>
      <c r="T36" s="513"/>
      <c r="U36" s="432"/>
      <c r="V36" s="438"/>
      <c r="W36" s="926"/>
      <c r="X36" s="438"/>
    </row>
    <row r="37" spans="1:24" ht="11.25">
      <c r="A37" s="92"/>
      <c r="B37" s="237" t="s">
        <v>744</v>
      </c>
      <c r="C37" s="93"/>
      <c r="D37" s="506"/>
      <c r="E37" s="506"/>
      <c r="F37" s="506"/>
      <c r="G37" s="151"/>
      <c r="H37" s="153"/>
      <c r="I37" s="151"/>
      <c r="J37" s="151"/>
      <c r="K37" s="1052"/>
      <c r="L37" s="302"/>
      <c r="M37" s="498"/>
      <c r="N37" s="502"/>
      <c r="O37" s="1048"/>
      <c r="P37" s="374"/>
      <c r="Q37" s="385"/>
      <c r="R37" s="499"/>
      <c r="S37" s="499"/>
      <c r="T37" s="499"/>
      <c r="U37" s="432"/>
      <c r="V37" s="438"/>
      <c r="W37" s="926"/>
      <c r="X37" s="438"/>
    </row>
    <row r="38" spans="1:25" ht="11.25">
      <c r="A38" s="92">
        <v>530150</v>
      </c>
      <c r="B38" s="209" t="s">
        <v>745</v>
      </c>
      <c r="C38" s="93"/>
      <c r="D38" s="804">
        <f>VLOOKUP(A38,TB!$A:$E,5,FALSE)</f>
        <v>7186423.8</v>
      </c>
      <c r="E38" s="497"/>
      <c r="F38" s="497"/>
      <c r="G38" s="151"/>
      <c r="H38" s="151"/>
      <c r="I38" s="909"/>
      <c r="J38" s="447"/>
      <c r="K38" s="527"/>
      <c r="L38" s="443"/>
      <c r="M38" s="443"/>
      <c r="N38" s="447">
        <f aca="true" t="shared" si="8" ref="N38:N48">D38-L38+M38</f>
        <v>7186423.8</v>
      </c>
      <c r="O38" s="1047">
        <f>J38-L38+M38</f>
        <v>0</v>
      </c>
      <c r="P38" s="374">
        <v>4966630.04</v>
      </c>
      <c r="Q38" s="385"/>
      <c r="R38" s="499"/>
      <c r="S38" s="499"/>
      <c r="T38" s="499">
        <v>7296286.499999998</v>
      </c>
      <c r="U38" s="429">
        <f>(N38-T38)/1000</f>
        <v>-109.86269999999833</v>
      </c>
      <c r="V38" s="435">
        <f>U38/T38*1000</f>
        <v>-0.015057344582069023</v>
      </c>
      <c r="W38" s="1466">
        <f>(D38-P38)/1000</f>
        <v>2219.7937599999996</v>
      </c>
      <c r="X38" s="613">
        <f>W38/P38*1000</f>
        <v>0.4469416369091988</v>
      </c>
      <c r="Y38" s="51">
        <v>530150</v>
      </c>
    </row>
    <row r="39" spans="1:25" ht="11.25">
      <c r="A39" s="92">
        <v>530160</v>
      </c>
      <c r="B39" s="209" t="s">
        <v>746</v>
      </c>
      <c r="C39" s="93"/>
      <c r="D39" s="804">
        <f>VLOOKUP(A39,TB!$A:$E,5,FALSE)</f>
        <v>2941444.01</v>
      </c>
      <c r="E39" s="497"/>
      <c r="F39" s="497"/>
      <c r="G39" s="151"/>
      <c r="H39" s="151"/>
      <c r="I39" s="909"/>
      <c r="J39" s="447"/>
      <c r="K39" s="527"/>
      <c r="L39" s="443"/>
      <c r="M39" s="443"/>
      <c r="N39" s="447">
        <f t="shared" si="8"/>
        <v>2941444.01</v>
      </c>
      <c r="O39" s="1047">
        <f aca="true" t="shared" si="9" ref="O39:O49">J39-L39+M39</f>
        <v>0</v>
      </c>
      <c r="P39" s="374">
        <v>2964296.19</v>
      </c>
      <c r="Q39" s="385"/>
      <c r="R39" s="499"/>
      <c r="S39" s="499"/>
      <c r="T39" s="499">
        <v>1615350.09</v>
      </c>
      <c r="U39" s="429">
        <f aca="true" t="shared" si="10" ref="U39:U46">(N39-T39)/1000</f>
        <v>1326.0939199999998</v>
      </c>
      <c r="V39" s="435">
        <f aca="true" t="shared" si="11" ref="V39:V46">U39/T39*1000</f>
        <v>0.8209328294896122</v>
      </c>
      <c r="W39" s="610">
        <f aca="true" t="shared" si="12" ref="W39:W46">(D39-P39)/1000</f>
        <v>-22.852180000000168</v>
      </c>
      <c r="X39" s="613">
        <f aca="true" t="shared" si="13" ref="X39:X46">W39/P39*1000</f>
        <v>-0.007709141912704805</v>
      </c>
      <c r="Y39" s="51">
        <v>530160</v>
      </c>
    </row>
    <row r="40" spans="1:25" ht="11.25">
      <c r="A40" s="92">
        <v>530220</v>
      </c>
      <c r="B40" s="209" t="s">
        <v>747</v>
      </c>
      <c r="C40" s="93"/>
      <c r="D40" s="804">
        <f>VLOOKUP(A40,TB!$A:$E,5,FALSE)</f>
        <v>8552024.7</v>
      </c>
      <c r="E40" s="497"/>
      <c r="F40" s="497"/>
      <c r="G40" s="151"/>
      <c r="H40" s="151"/>
      <c r="I40" s="909"/>
      <c r="J40" s="447"/>
      <c r="K40" s="527"/>
      <c r="L40" s="443"/>
      <c r="M40" s="443"/>
      <c r="N40" s="447">
        <f t="shared" si="8"/>
        <v>8552024.7</v>
      </c>
      <c r="O40" s="1047">
        <f t="shared" si="9"/>
        <v>0</v>
      </c>
      <c r="P40" s="374">
        <v>6843760.48</v>
      </c>
      <c r="Q40" s="385"/>
      <c r="R40" s="499"/>
      <c r="S40" s="499"/>
      <c r="T40" s="499">
        <v>6466647.410000001</v>
      </c>
      <c r="U40" s="1466">
        <f t="shared" si="10"/>
        <v>2085.377289999998</v>
      </c>
      <c r="V40" s="435">
        <f t="shared" si="11"/>
        <v>0.3224819845249608</v>
      </c>
      <c r="W40" s="1466">
        <f t="shared" si="12"/>
        <v>1708.2642199999989</v>
      </c>
      <c r="X40" s="613">
        <f t="shared" si="13"/>
        <v>0.24960900151198728</v>
      </c>
      <c r="Y40" s="51">
        <v>530220</v>
      </c>
    </row>
    <row r="41" spans="1:25" ht="11.25">
      <c r="A41" s="92">
        <v>530240</v>
      </c>
      <c r="B41" s="209" t="s">
        <v>748</v>
      </c>
      <c r="C41" s="93"/>
      <c r="D41" s="804">
        <f>VLOOKUP(A41,TB!$A:$E,5,FALSE)</f>
        <v>4380122.51</v>
      </c>
      <c r="E41" s="497"/>
      <c r="F41" s="497"/>
      <c r="G41" s="151"/>
      <c r="H41" s="151"/>
      <c r="I41" s="909"/>
      <c r="J41" s="447"/>
      <c r="K41" s="527"/>
      <c r="L41" s="443"/>
      <c r="M41" s="443"/>
      <c r="N41" s="447">
        <f t="shared" si="8"/>
        <v>4380122.51</v>
      </c>
      <c r="O41" s="1047">
        <f t="shared" si="9"/>
        <v>0</v>
      </c>
      <c r="P41" s="374">
        <v>3253815.82</v>
      </c>
      <c r="Q41" s="385"/>
      <c r="R41" s="499"/>
      <c r="S41" s="499"/>
      <c r="T41" s="499">
        <v>3947452.78</v>
      </c>
      <c r="U41" s="429">
        <f t="shared" si="10"/>
        <v>432.66972999999996</v>
      </c>
      <c r="V41" s="435">
        <f t="shared" si="11"/>
        <v>0.10960732252255086</v>
      </c>
      <c r="W41" s="610">
        <f t="shared" si="12"/>
        <v>1126.30669</v>
      </c>
      <c r="X41" s="613">
        <f t="shared" si="13"/>
        <v>0.3461494910305034</v>
      </c>
      <c r="Y41" s="51">
        <v>530240</v>
      </c>
    </row>
    <row r="42" spans="1:25" ht="11.25">
      <c r="A42" s="92">
        <v>530290</v>
      </c>
      <c r="B42" s="209" t="s">
        <v>749</v>
      </c>
      <c r="C42" s="93"/>
      <c r="D42" s="804">
        <f>VLOOKUP(A42,TB!$A:$E,5,FALSE)</f>
        <v>1534487.98</v>
      </c>
      <c r="E42" s="497"/>
      <c r="F42" s="497"/>
      <c r="G42" s="151"/>
      <c r="H42" s="151"/>
      <c r="I42" s="909"/>
      <c r="J42" s="447"/>
      <c r="K42" s="527"/>
      <c r="L42" s="443"/>
      <c r="M42" s="443"/>
      <c r="N42" s="447">
        <f t="shared" si="8"/>
        <v>1534487.98</v>
      </c>
      <c r="O42" s="1047">
        <f t="shared" si="9"/>
        <v>0</v>
      </c>
      <c r="P42" s="374">
        <v>561759.34</v>
      </c>
      <c r="Q42" s="385"/>
      <c r="R42" s="499"/>
      <c r="S42" s="499"/>
      <c r="T42" s="499">
        <v>2351348.88</v>
      </c>
      <c r="U42" s="1466">
        <f t="shared" si="10"/>
        <v>-816.8608999999999</v>
      </c>
      <c r="V42" s="435">
        <f t="shared" si="11"/>
        <v>-0.3474009777740851</v>
      </c>
      <c r="W42" s="610">
        <f t="shared" si="12"/>
        <v>972.72864</v>
      </c>
      <c r="X42" s="613">
        <f t="shared" si="13"/>
        <v>1.7315753753199725</v>
      </c>
      <c r="Y42" s="51">
        <v>530290</v>
      </c>
    </row>
    <row r="43" spans="1:25" ht="11.25">
      <c r="A43" s="92">
        <v>530380</v>
      </c>
      <c r="B43" s="209" t="s">
        <v>750</v>
      </c>
      <c r="C43" s="93"/>
      <c r="D43" s="804">
        <f>VLOOKUP(A43,TB!$A:$E,5,FALSE)</f>
        <v>16955108.7</v>
      </c>
      <c r="E43" s="497"/>
      <c r="F43" s="497"/>
      <c r="G43" s="151"/>
      <c r="H43" s="151"/>
      <c r="I43" s="909"/>
      <c r="J43" s="447"/>
      <c r="K43" s="527"/>
      <c r="L43" s="443"/>
      <c r="M43" s="443"/>
      <c r="N43" s="447">
        <f t="shared" si="8"/>
        <v>16955108.7</v>
      </c>
      <c r="O43" s="1047">
        <f t="shared" si="9"/>
        <v>0</v>
      </c>
      <c r="P43" s="374">
        <v>17157009.82</v>
      </c>
      <c r="Q43" s="385"/>
      <c r="R43" s="499"/>
      <c r="S43" s="499"/>
      <c r="T43" s="499">
        <v>16879297.120000005</v>
      </c>
      <c r="U43" s="429">
        <f t="shared" si="10"/>
        <v>75.81157999999449</v>
      </c>
      <c r="V43" s="435">
        <f t="shared" si="11"/>
        <v>0.00449139436678122</v>
      </c>
      <c r="W43" s="610">
        <f t="shared" si="12"/>
        <v>-201.90112000000104</v>
      </c>
      <c r="X43" s="613">
        <f t="shared" si="13"/>
        <v>-0.011767850115970912</v>
      </c>
      <c r="Y43" s="51">
        <v>530380</v>
      </c>
    </row>
    <row r="44" spans="1:25" ht="11.25">
      <c r="A44" s="92">
        <v>530390</v>
      </c>
      <c r="B44" s="209" t="s">
        <v>752</v>
      </c>
      <c r="C44" s="93"/>
      <c r="D44" s="804">
        <f>VLOOKUP(A44,TB!$A:$E,5,FALSE)</f>
        <v>3282378.460000001</v>
      </c>
      <c r="E44" s="497"/>
      <c r="F44" s="497"/>
      <c r="G44" s="151"/>
      <c r="H44" s="151"/>
      <c r="I44" s="909"/>
      <c r="J44" s="447"/>
      <c r="K44" s="527"/>
      <c r="L44" s="443"/>
      <c r="M44" s="443"/>
      <c r="N44" s="447">
        <f t="shared" si="8"/>
        <v>3282378.460000001</v>
      </c>
      <c r="O44" s="1047">
        <f t="shared" si="9"/>
        <v>0</v>
      </c>
      <c r="P44" s="374">
        <v>2828164.08</v>
      </c>
      <c r="Q44" s="385"/>
      <c r="R44" s="499"/>
      <c r="S44" s="499"/>
      <c r="T44" s="499">
        <v>2817774.29</v>
      </c>
      <c r="U44" s="429">
        <f t="shared" si="10"/>
        <v>464.60417000000086</v>
      </c>
      <c r="V44" s="435">
        <f t="shared" si="11"/>
        <v>0.1648833874483257</v>
      </c>
      <c r="W44" s="610">
        <f t="shared" si="12"/>
        <v>454.2143800000008</v>
      </c>
      <c r="X44" s="613">
        <f t="shared" si="13"/>
        <v>0.1606039703325844</v>
      </c>
      <c r="Y44" s="51">
        <v>530390</v>
      </c>
    </row>
    <row r="45" spans="1:25" ht="11.25">
      <c r="A45" s="92">
        <v>530400</v>
      </c>
      <c r="B45" s="209" t="s">
        <v>753</v>
      </c>
      <c r="C45" s="93"/>
      <c r="D45" s="804">
        <f>VLOOKUP(A45,TB!$A:$E,5,FALSE)</f>
        <v>1385309</v>
      </c>
      <c r="E45" s="497"/>
      <c r="F45" s="497"/>
      <c r="G45" s="151"/>
      <c r="H45" s="151"/>
      <c r="I45" s="909"/>
      <c r="J45" s="447"/>
      <c r="K45" s="527"/>
      <c r="L45" s="443"/>
      <c r="M45" s="443"/>
      <c r="N45" s="447">
        <f t="shared" si="8"/>
        <v>1385309</v>
      </c>
      <c r="O45" s="1047">
        <f t="shared" si="9"/>
        <v>0</v>
      </c>
      <c r="P45" s="374">
        <v>1187736</v>
      </c>
      <c r="Q45" s="385"/>
      <c r="R45" s="499"/>
      <c r="S45" s="499"/>
      <c r="T45" s="499">
        <v>1208644</v>
      </c>
      <c r="U45" s="429">
        <f t="shared" si="10"/>
        <v>176.665</v>
      </c>
      <c r="V45" s="435">
        <f t="shared" si="11"/>
        <v>0.14616793696075933</v>
      </c>
      <c r="W45" s="610">
        <f t="shared" si="12"/>
        <v>197.573</v>
      </c>
      <c r="X45" s="613">
        <f t="shared" si="13"/>
        <v>0.16634420443600262</v>
      </c>
      <c r="Y45" s="51">
        <v>530400</v>
      </c>
    </row>
    <row r="46" spans="1:25" ht="11.25">
      <c r="A46" s="92">
        <v>531000</v>
      </c>
      <c r="B46" s="209" t="s">
        <v>754</v>
      </c>
      <c r="C46" s="93"/>
      <c r="D46" s="804">
        <f>VLOOKUP(A46,TB!$A:$E,5,FALSE)</f>
        <v>437875.1500000001</v>
      </c>
      <c r="E46" s="497"/>
      <c r="F46" s="497"/>
      <c r="G46" s="151"/>
      <c r="H46" s="151"/>
      <c r="I46" s="447"/>
      <c r="J46" s="447"/>
      <c r="K46" s="527"/>
      <c r="L46" s="443"/>
      <c r="M46" s="443"/>
      <c r="N46" s="447">
        <f t="shared" si="8"/>
        <v>437875.1500000001</v>
      </c>
      <c r="O46" s="1047">
        <f t="shared" si="9"/>
        <v>0</v>
      </c>
      <c r="P46" s="374">
        <v>487253</v>
      </c>
      <c r="Q46" s="385"/>
      <c r="R46" s="499"/>
      <c r="S46" s="499"/>
      <c r="T46" s="499">
        <v>471962.14</v>
      </c>
      <c r="U46" s="429">
        <f t="shared" si="10"/>
        <v>-34.08698999999993</v>
      </c>
      <c r="V46" s="435">
        <f t="shared" si="11"/>
        <v>-0.07222399237362542</v>
      </c>
      <c r="W46" s="610">
        <f t="shared" si="12"/>
        <v>-49.37784999999992</v>
      </c>
      <c r="X46" s="613">
        <f t="shared" si="13"/>
        <v>-0.10133924265217437</v>
      </c>
      <c r="Y46" s="51">
        <v>531000</v>
      </c>
    </row>
    <row r="47" spans="1:24" ht="11.25">
      <c r="A47" s="239">
        <v>551190</v>
      </c>
      <c r="B47" s="209" t="s">
        <v>839</v>
      </c>
      <c r="C47" s="93"/>
      <c r="D47" s="804"/>
      <c r="E47" s="497"/>
      <c r="F47" s="497"/>
      <c r="G47" s="151"/>
      <c r="H47" s="151"/>
      <c r="I47" s="920"/>
      <c r="J47" s="447"/>
      <c r="K47" s="527"/>
      <c r="L47" s="443"/>
      <c r="M47" s="443"/>
      <c r="N47" s="447">
        <f t="shared" si="8"/>
        <v>0</v>
      </c>
      <c r="O47" s="1047">
        <f t="shared" si="9"/>
        <v>0</v>
      </c>
      <c r="P47" s="374">
        <v>0</v>
      </c>
      <c r="Q47" s="385"/>
      <c r="R47" s="499"/>
      <c r="S47" s="499"/>
      <c r="T47" s="499">
        <f>VLOOKUP(A47,'[1]6100-1'!$A$8:$O$54,15,FALSE)</f>
        <v>0</v>
      </c>
      <c r="U47" s="429"/>
      <c r="V47" s="435"/>
      <c r="W47" s="610"/>
      <c r="X47" s="613"/>
    </row>
    <row r="48" spans="1:24" ht="11.25">
      <c r="A48" s="239">
        <v>524000</v>
      </c>
      <c r="B48" s="209" t="s">
        <v>760</v>
      </c>
      <c r="C48" s="93"/>
      <c r="D48" s="804">
        <f>VLOOKUP(A48,TB!$A:$E,5,FALSE)</f>
        <v>0</v>
      </c>
      <c r="E48" s="497"/>
      <c r="F48" s="497"/>
      <c r="G48" s="151"/>
      <c r="H48" s="151"/>
      <c r="I48" s="114"/>
      <c r="J48" s="447"/>
      <c r="K48" s="527"/>
      <c r="L48" s="443"/>
      <c r="M48" s="443"/>
      <c r="N48" s="447">
        <f t="shared" si="8"/>
        <v>0</v>
      </c>
      <c r="O48" s="1047">
        <f t="shared" si="9"/>
        <v>0</v>
      </c>
      <c r="P48" s="374">
        <v>0</v>
      </c>
      <c r="Q48" s="385"/>
      <c r="R48" s="499"/>
      <c r="S48" s="499"/>
      <c r="T48" s="499">
        <f>VLOOKUP(A48,'[1]6100-1'!$A$8:$O$54,15,FALSE)</f>
        <v>0</v>
      </c>
      <c r="U48" s="429"/>
      <c r="V48" s="435"/>
      <c r="W48" s="610"/>
      <c r="X48" s="613"/>
    </row>
    <row r="49" spans="1:24" ht="11.25">
      <c r="A49" s="92"/>
      <c r="B49" s="209"/>
      <c r="C49" s="93"/>
      <c r="D49" s="506"/>
      <c r="E49" s="506"/>
      <c r="F49" s="506"/>
      <c r="G49" s="153"/>
      <c r="H49" s="153"/>
      <c r="I49" s="909"/>
      <c r="J49" s="444"/>
      <c r="K49" s="519"/>
      <c r="L49" s="443"/>
      <c r="M49" s="443"/>
      <c r="N49" s="447"/>
      <c r="O49" s="1047">
        <f t="shared" si="9"/>
        <v>0</v>
      </c>
      <c r="P49" s="374"/>
      <c r="Q49" s="385"/>
      <c r="R49" s="987"/>
      <c r="S49" s="499"/>
      <c r="T49" s="499"/>
      <c r="U49" s="561"/>
      <c r="V49" s="439"/>
      <c r="W49" s="927"/>
      <c r="X49" s="928"/>
    </row>
    <row r="50" spans="1:24" s="3" customFormat="1" ht="11.25">
      <c r="A50" s="525"/>
      <c r="B50" s="236" t="s">
        <v>737</v>
      </c>
      <c r="C50" s="236"/>
      <c r="D50" s="526">
        <f>SUM(D38:D49)</f>
        <v>46655174.309999995</v>
      </c>
      <c r="E50" s="526">
        <f>SUM(E38:E48)</f>
        <v>0</v>
      </c>
      <c r="F50" s="526">
        <f>SUM(F38:F48)</f>
        <v>0</v>
      </c>
      <c r="G50" s="526">
        <f>SUM(G38:G48)</f>
        <v>0</v>
      </c>
      <c r="H50" s="526">
        <f>SUM(H38:H48)</f>
        <v>0</v>
      </c>
      <c r="I50" s="526">
        <f>SUM(I38:I48)</f>
        <v>0</v>
      </c>
      <c r="J50" s="295">
        <f>SUM(J38:J49)</f>
        <v>0</v>
      </c>
      <c r="K50" s="295"/>
      <c r="L50" s="295">
        <f>SUM(L38:L49)</f>
        <v>0</v>
      </c>
      <c r="M50" s="295">
        <f>SUM(M38:M49)</f>
        <v>0</v>
      </c>
      <c r="N50" s="508">
        <f aca="true" t="shared" si="14" ref="N50:T50">SUM(N38:N48)</f>
        <v>46655174.309999995</v>
      </c>
      <c r="O50" s="508">
        <f t="shared" si="14"/>
        <v>0</v>
      </c>
      <c r="P50" s="334">
        <v>40250424.769999996</v>
      </c>
      <c r="Q50" s="334">
        <f t="shared" si="14"/>
        <v>0</v>
      </c>
      <c r="R50" s="517">
        <f t="shared" si="14"/>
        <v>0</v>
      </c>
      <c r="S50" s="334">
        <f t="shared" si="14"/>
        <v>0</v>
      </c>
      <c r="T50" s="334">
        <f t="shared" si="14"/>
        <v>43054763.21</v>
      </c>
      <c r="U50" s="461">
        <f>(N50-T50)/1000</f>
        <v>3600.411099999994</v>
      </c>
      <c r="V50" s="436">
        <f>U50/T50*1000</f>
        <v>0.0836239902758019</v>
      </c>
      <c r="W50" s="1505">
        <f>(D50-P50)/1000</f>
        <v>6404.749539999999</v>
      </c>
      <c r="X50" s="978">
        <f>W50/P50*1000</f>
        <v>0.15912253290737136</v>
      </c>
    </row>
    <row r="51" spans="1:24" ht="11.25">
      <c r="A51" s="92"/>
      <c r="B51" s="209"/>
      <c r="C51" s="209"/>
      <c r="D51" s="506"/>
      <c r="E51" s="506"/>
      <c r="F51" s="506"/>
      <c r="G51" s="153"/>
      <c r="H51" s="153"/>
      <c r="I51" s="153"/>
      <c r="J51" s="153"/>
      <c r="K51" s="1052"/>
      <c r="L51" s="302"/>
      <c r="M51" s="498"/>
      <c r="N51" s="502"/>
      <c r="O51" s="1048"/>
      <c r="P51" s="374"/>
      <c r="Q51" s="385"/>
      <c r="R51" s="500"/>
      <c r="S51" s="499"/>
      <c r="T51" s="499"/>
      <c r="U51" s="432"/>
      <c r="V51" s="438"/>
      <c r="W51" s="926"/>
      <c r="X51" s="437"/>
    </row>
    <row r="52" spans="1:24" ht="11.25">
      <c r="A52" s="92"/>
      <c r="B52" s="209"/>
      <c r="C52" s="209"/>
      <c r="D52" s="506"/>
      <c r="E52" s="506"/>
      <c r="F52" s="506"/>
      <c r="G52" s="153"/>
      <c r="H52" s="153"/>
      <c r="I52" s="153"/>
      <c r="J52" s="153"/>
      <c r="K52" s="1052"/>
      <c r="L52" s="302"/>
      <c r="M52" s="498"/>
      <c r="N52" s="502"/>
      <c r="O52" s="1048"/>
      <c r="P52" s="374"/>
      <c r="Q52" s="385"/>
      <c r="R52" s="500"/>
      <c r="S52" s="499"/>
      <c r="T52" s="499"/>
      <c r="U52" s="432"/>
      <c r="V52" s="438"/>
      <c r="W52" s="926"/>
      <c r="X52" s="438"/>
    </row>
    <row r="53" spans="1:24" ht="11.25">
      <c r="A53" s="92"/>
      <c r="B53" s="209"/>
      <c r="C53" s="250"/>
      <c r="D53" s="506"/>
      <c r="E53" s="506"/>
      <c r="F53" s="506"/>
      <c r="G53" s="153"/>
      <c r="H53" s="153"/>
      <c r="I53" s="153"/>
      <c r="J53" s="153"/>
      <c r="K53" s="1052"/>
      <c r="L53" s="302"/>
      <c r="M53" s="498"/>
      <c r="N53" s="502"/>
      <c r="O53" s="1048"/>
      <c r="P53" s="374"/>
      <c r="Q53" s="385"/>
      <c r="R53" s="500"/>
      <c r="S53" s="499"/>
      <c r="T53" s="499"/>
      <c r="U53" s="432"/>
      <c r="V53" s="438"/>
      <c r="W53" s="926"/>
      <c r="X53" s="929"/>
    </row>
    <row r="54" spans="1:24" s="3" customFormat="1" ht="11.25">
      <c r="A54" s="251"/>
      <c r="B54" s="252" t="s">
        <v>755</v>
      </c>
      <c r="C54" s="252"/>
      <c r="D54" s="514">
        <f aca="true" t="shared" si="15" ref="D54:J54">D34+D50</f>
        <v>64226974.129999995</v>
      </c>
      <c r="E54" s="514">
        <f t="shared" si="15"/>
        <v>0</v>
      </c>
      <c r="F54" s="514">
        <f t="shared" si="15"/>
        <v>0</v>
      </c>
      <c r="G54" s="514">
        <f t="shared" si="15"/>
        <v>0</v>
      </c>
      <c r="H54" s="514">
        <f t="shared" si="15"/>
        <v>0</v>
      </c>
      <c r="I54" s="514">
        <f t="shared" si="15"/>
        <v>0</v>
      </c>
      <c r="J54" s="514">
        <f t="shared" si="15"/>
        <v>0</v>
      </c>
      <c r="K54" s="1053"/>
      <c r="L54" s="515">
        <f aca="true" t="shared" si="16" ref="L54:T54">L34+L50</f>
        <v>0</v>
      </c>
      <c r="M54" s="515">
        <f t="shared" si="16"/>
        <v>0</v>
      </c>
      <c r="N54" s="516">
        <f t="shared" si="16"/>
        <v>64226974.129999995</v>
      </c>
      <c r="O54" s="516">
        <f t="shared" si="16"/>
        <v>0</v>
      </c>
      <c r="P54" s="334">
        <v>57814305.59</v>
      </c>
      <c r="Q54" s="334">
        <f t="shared" si="16"/>
        <v>0</v>
      </c>
      <c r="R54" s="518">
        <f t="shared" si="16"/>
        <v>0</v>
      </c>
      <c r="S54" s="517">
        <f t="shared" si="16"/>
        <v>0</v>
      </c>
      <c r="T54" s="517">
        <f t="shared" si="16"/>
        <v>56269399.05</v>
      </c>
      <c r="U54" s="430">
        <f>(N54-T54)/1000</f>
        <v>7957.575079999998</v>
      </c>
      <c r="V54" s="436">
        <f>U54/T54*1000</f>
        <v>0.1414192298895717</v>
      </c>
      <c r="W54" s="979">
        <f>(D54-P54)/1000</f>
        <v>6412.6685399999915</v>
      </c>
      <c r="X54" s="978">
        <f>W54/P54*1000</f>
        <v>0.11091837002205861</v>
      </c>
    </row>
    <row r="55" spans="16:20" ht="11.25">
      <c r="P55" s="1506" t="s">
        <v>1140</v>
      </c>
      <c r="T55" s="1201"/>
    </row>
    <row r="56" spans="1:16" ht="11.25">
      <c r="A56" s="1" t="s">
        <v>1141</v>
      </c>
      <c r="P56" s="406"/>
    </row>
    <row r="57" ht="11.25">
      <c r="A57" s="1" t="s">
        <v>1211</v>
      </c>
    </row>
  </sheetData>
  <mergeCells count="11">
    <mergeCell ref="U2:V2"/>
    <mergeCell ref="U3:V3"/>
    <mergeCell ref="U4:V4"/>
    <mergeCell ref="W2:X2"/>
    <mergeCell ref="W3:X3"/>
    <mergeCell ref="W4:X4"/>
    <mergeCell ref="E2:F2"/>
    <mergeCell ref="K3:M3"/>
    <mergeCell ref="K2:M2"/>
    <mergeCell ref="I2:J2"/>
    <mergeCell ref="G2:H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24"/>
  <sheetViews>
    <sheetView workbookViewId="0" topLeftCell="A1">
      <pane xSplit="2" ySplit="5" topLeftCell="C6" activePane="bottomRight" state="frozen"/>
      <selection pane="topLeft" activeCell="G30" sqref="G30"/>
      <selection pane="topRight" activeCell="G30" sqref="G30"/>
      <selection pane="bottomLeft" activeCell="G30" sqref="G30"/>
      <selection pane="bottomRight" activeCell="G30" sqref="G30"/>
    </sheetView>
  </sheetViews>
  <sheetFormatPr defaultColWidth="9.140625" defaultRowHeight="21.75"/>
  <cols>
    <col min="1" max="1" width="10.8515625" style="51" customWidth="1"/>
    <col min="2" max="2" width="25.421875" style="51" customWidth="1"/>
    <col min="3" max="3" width="5.421875" style="51" customWidth="1"/>
    <col min="4" max="4" width="10.421875" style="416" customWidth="1"/>
    <col min="5" max="6" width="9.8515625" style="416" hidden="1" customWidth="1"/>
    <col min="7" max="9" width="9.8515625" style="51" hidden="1" customWidth="1"/>
    <col min="10" max="10" width="10.421875" style="51" hidden="1" customWidth="1"/>
    <col min="11" max="11" width="7.28125" style="54" customWidth="1"/>
    <col min="12" max="12" width="10.00390625" style="54" customWidth="1"/>
    <col min="13" max="13" width="9.28125" style="54" customWidth="1"/>
    <col min="14" max="14" width="11.140625" style="54" customWidth="1"/>
    <col min="15" max="15" width="10.7109375" style="54" hidden="1" customWidth="1"/>
    <col min="16" max="16" width="10.421875" style="51" customWidth="1"/>
    <col min="17" max="18" width="9.8515625" style="51" hidden="1" customWidth="1"/>
    <col min="19" max="19" width="11.7109375" style="61" hidden="1" customWidth="1"/>
    <col min="20" max="20" width="12.00390625" style="61" bestFit="1" customWidth="1"/>
    <col min="21" max="21" width="7.421875" style="51" bestFit="1" customWidth="1"/>
    <col min="22" max="22" width="7.57421875" style="51" bestFit="1" customWidth="1"/>
    <col min="23" max="23" width="8.28125" style="51" bestFit="1" customWidth="1"/>
    <col min="24" max="24" width="6.7109375" style="51" bestFit="1" customWidth="1"/>
    <col min="25" max="16384" width="9.140625" style="51" customWidth="1"/>
  </cols>
  <sheetData>
    <row r="1" spans="1:18" ht="11.25">
      <c r="A1" s="60" t="s">
        <v>485</v>
      </c>
      <c r="B1" s="60"/>
      <c r="C1" s="60"/>
      <c r="G1" s="60"/>
      <c r="H1" s="60"/>
      <c r="I1" s="60"/>
      <c r="J1" s="60"/>
      <c r="P1" s="60"/>
      <c r="Q1" s="60"/>
      <c r="R1" s="60"/>
    </row>
    <row r="2" spans="1:24" ht="20.25" customHeight="1">
      <c r="A2" s="63"/>
      <c r="B2" s="64"/>
      <c r="C2" s="63"/>
      <c r="D2" s="1069" t="str">
        <f>'6000'!D3</f>
        <v>Quarter 1'08</v>
      </c>
      <c r="E2" s="1713" t="s">
        <v>956</v>
      </c>
      <c r="F2" s="1714"/>
      <c r="G2" s="1715" t="s">
        <v>957</v>
      </c>
      <c r="H2" s="1716"/>
      <c r="I2" s="1715" t="s">
        <v>958</v>
      </c>
      <c r="J2" s="1716"/>
      <c r="K2" s="1690" t="s">
        <v>486</v>
      </c>
      <c r="L2" s="477"/>
      <c r="M2" s="285"/>
      <c r="N2" s="1069" t="str">
        <f>'6000'!H3</f>
        <v>Quarter 1'08</v>
      </c>
      <c r="O2" s="1050" t="e">
        <f>'6000'!#REF!</f>
        <v>#REF!</v>
      </c>
      <c r="P2" s="1037" t="s">
        <v>927</v>
      </c>
      <c r="Q2" s="65" t="s">
        <v>927</v>
      </c>
      <c r="R2" s="65" t="s">
        <v>927</v>
      </c>
      <c r="S2" s="1036" t="s">
        <v>252</v>
      </c>
      <c r="T2" s="65" t="s">
        <v>927</v>
      </c>
      <c r="U2" s="1686" t="s">
        <v>487</v>
      </c>
      <c r="V2" s="1687"/>
      <c r="W2" s="1686" t="s">
        <v>487</v>
      </c>
      <c r="X2" s="1687"/>
    </row>
    <row r="3" spans="1:24" ht="18" customHeight="1">
      <c r="A3" s="67" t="s">
        <v>488</v>
      </c>
      <c r="B3" s="68"/>
      <c r="C3" s="67"/>
      <c r="D3" s="1067">
        <f>'6100-1'!D3</f>
        <v>39538</v>
      </c>
      <c r="E3" s="425">
        <v>38898</v>
      </c>
      <c r="F3" s="605">
        <v>38898</v>
      </c>
      <c r="G3" s="69">
        <v>38990</v>
      </c>
      <c r="H3" s="70">
        <v>38990</v>
      </c>
      <c r="I3" s="69">
        <v>39082</v>
      </c>
      <c r="J3" s="70">
        <v>39082</v>
      </c>
      <c r="K3" s="1692" t="s">
        <v>489</v>
      </c>
      <c r="L3" s="1500"/>
      <c r="M3" s="1501"/>
      <c r="N3" s="1067">
        <f>'6100-1'!N3</f>
        <v>39538</v>
      </c>
      <c r="O3" s="1051">
        <v>38807</v>
      </c>
      <c r="P3" s="1038">
        <f>'6100-1'!P3</f>
        <v>39172</v>
      </c>
      <c r="Q3" s="71">
        <v>38533</v>
      </c>
      <c r="R3" s="71">
        <v>38625</v>
      </c>
      <c r="S3" s="480">
        <v>38717</v>
      </c>
      <c r="T3" s="480">
        <f>'6100-1'!T3</f>
        <v>39447</v>
      </c>
      <c r="U3" s="1694">
        <f>'6100-1'!U3</f>
        <v>39447</v>
      </c>
      <c r="V3" s="1695">
        <f>'6100-1'!V3</f>
        <v>0</v>
      </c>
      <c r="W3" s="1721">
        <f>'6100-1'!W3</f>
        <v>39172</v>
      </c>
      <c r="X3" s="1722">
        <f>'6100-1'!X3</f>
        <v>0</v>
      </c>
    </row>
    <row r="4" spans="1:24" ht="11.25">
      <c r="A4" s="73" t="s">
        <v>491</v>
      </c>
      <c r="B4" s="74" t="s">
        <v>492</v>
      </c>
      <c r="C4" s="73" t="s">
        <v>493</v>
      </c>
      <c r="D4" s="1068" t="s">
        <v>869</v>
      </c>
      <c r="E4" s="425" t="s">
        <v>932</v>
      </c>
      <c r="F4" s="425" t="s">
        <v>869</v>
      </c>
      <c r="G4" s="69" t="s">
        <v>933</v>
      </c>
      <c r="H4" s="69" t="s">
        <v>869</v>
      </c>
      <c r="I4" s="69" t="s">
        <v>885</v>
      </c>
      <c r="J4" s="69" t="s">
        <v>869</v>
      </c>
      <c r="K4" s="75" t="s">
        <v>494</v>
      </c>
      <c r="L4" s="76" t="s">
        <v>495</v>
      </c>
      <c r="M4" s="77" t="s">
        <v>496</v>
      </c>
      <c r="N4" s="1068" t="s">
        <v>869</v>
      </c>
      <c r="O4" s="426" t="s">
        <v>869</v>
      </c>
      <c r="P4" s="480" t="s">
        <v>869</v>
      </c>
      <c r="Q4" s="480" t="s">
        <v>932</v>
      </c>
      <c r="R4" s="79" t="s">
        <v>933</v>
      </c>
      <c r="S4" s="480" t="s">
        <v>885</v>
      </c>
      <c r="T4" s="480" t="s">
        <v>869</v>
      </c>
      <c r="U4" s="1685" t="s">
        <v>869</v>
      </c>
      <c r="V4" s="1711"/>
      <c r="W4" s="1717" t="s">
        <v>869</v>
      </c>
      <c r="X4" s="1718"/>
    </row>
    <row r="5" spans="1:24" ht="11.25">
      <c r="A5" s="81"/>
      <c r="B5" s="82"/>
      <c r="C5" s="253"/>
      <c r="D5" s="1060" t="s">
        <v>497</v>
      </c>
      <c r="E5" s="417" t="s">
        <v>497</v>
      </c>
      <c r="F5" s="417" t="s">
        <v>497</v>
      </c>
      <c r="G5" s="76" t="s">
        <v>497</v>
      </c>
      <c r="H5" s="76" t="s">
        <v>497</v>
      </c>
      <c r="I5" s="76" t="s">
        <v>497</v>
      </c>
      <c r="J5" s="76" t="s">
        <v>497</v>
      </c>
      <c r="K5" s="83" t="s">
        <v>498</v>
      </c>
      <c r="L5" s="77" t="s">
        <v>497</v>
      </c>
      <c r="M5" s="77" t="s">
        <v>497</v>
      </c>
      <c r="N5" s="1060" t="s">
        <v>497</v>
      </c>
      <c r="O5" s="417" t="s">
        <v>497</v>
      </c>
      <c r="P5" s="481" t="s">
        <v>497</v>
      </c>
      <c r="Q5" s="84" t="s">
        <v>497</v>
      </c>
      <c r="R5" s="84" t="s">
        <v>497</v>
      </c>
      <c r="S5" s="84" t="s">
        <v>497</v>
      </c>
      <c r="T5" s="84" t="s">
        <v>497</v>
      </c>
      <c r="U5" s="77" t="s">
        <v>499</v>
      </c>
      <c r="V5" s="297" t="s">
        <v>500</v>
      </c>
      <c r="W5" s="77" t="s">
        <v>499</v>
      </c>
      <c r="X5" s="80" t="s">
        <v>500</v>
      </c>
    </row>
    <row r="6" spans="1:24" ht="11.25">
      <c r="A6" s="106"/>
      <c r="B6" s="20"/>
      <c r="C6" s="254"/>
      <c r="D6" s="479"/>
      <c r="E6" s="532"/>
      <c r="F6" s="478"/>
      <c r="G6" s="108"/>
      <c r="H6" s="108"/>
      <c r="I6" s="108"/>
      <c r="J6" s="108"/>
      <c r="K6" s="89"/>
      <c r="L6" s="89"/>
      <c r="M6" s="220"/>
      <c r="N6" s="306"/>
      <c r="O6" s="306"/>
      <c r="P6" s="307"/>
      <c r="Q6" s="246"/>
      <c r="R6" s="247"/>
      <c r="S6" s="247"/>
      <c r="T6" s="87"/>
      <c r="U6" s="255"/>
      <c r="V6" s="437"/>
      <c r="W6" s="255"/>
      <c r="X6" s="437"/>
    </row>
    <row r="7" spans="1:24" ht="11.25">
      <c r="A7" s="109"/>
      <c r="B7" s="86"/>
      <c r="C7" s="254"/>
      <c r="D7" s="533"/>
      <c r="E7" s="534"/>
      <c r="F7" s="535"/>
      <c r="G7" s="119"/>
      <c r="H7" s="119"/>
      <c r="I7" s="119"/>
      <c r="J7" s="119"/>
      <c r="K7" s="43"/>
      <c r="L7" s="43"/>
      <c r="M7" s="42"/>
      <c r="N7" s="94"/>
      <c r="O7" s="94"/>
      <c r="P7" s="309"/>
      <c r="Q7" s="248"/>
      <c r="R7" s="213"/>
      <c r="S7" s="213"/>
      <c r="T7" s="91"/>
      <c r="U7" s="255"/>
      <c r="V7" s="438"/>
      <c r="W7" s="255"/>
      <c r="X7" s="438"/>
    </row>
    <row r="8" spans="1:24" ht="11.25">
      <c r="A8" s="92">
        <v>420110</v>
      </c>
      <c r="B8" s="93" t="s">
        <v>756</v>
      </c>
      <c r="C8" s="256"/>
      <c r="D8" s="1075">
        <f>-VLOOKUP(A8,TB!$A:$E,5,FALSE)</f>
        <v>10172839.91</v>
      </c>
      <c r="E8" s="536"/>
      <c r="F8" s="537"/>
      <c r="G8" s="444"/>
      <c r="H8" s="447"/>
      <c r="I8" s="909"/>
      <c r="J8" s="444"/>
      <c r="K8" s="443"/>
      <c r="L8" s="443"/>
      <c r="M8" s="443"/>
      <c r="N8" s="447">
        <f>D8-L8+M8</f>
        <v>10172839.91</v>
      </c>
      <c r="O8" s="444">
        <f>J8-L8+M8</f>
        <v>0</v>
      </c>
      <c r="P8" s="448">
        <v>8699303.33</v>
      </c>
      <c r="Q8" s="528"/>
      <c r="R8" s="529"/>
      <c r="S8" s="543"/>
      <c r="T8" s="116">
        <v>9788486.71</v>
      </c>
      <c r="U8" s="429">
        <f>(N8-T8)/1000</f>
        <v>384.3531999999993</v>
      </c>
      <c r="V8" s="435">
        <f>U8/T8*1000</f>
        <v>0.03926584480186716</v>
      </c>
      <c r="W8" s="610">
        <f>(D8-P8)/1000</f>
        <v>1473.5365800000002</v>
      </c>
      <c r="X8" s="613">
        <f>W8/P8*1000</f>
        <v>0.16938558458105865</v>
      </c>
    </row>
    <row r="9" spans="1:24" ht="11.25">
      <c r="A9" s="92">
        <v>420120</v>
      </c>
      <c r="B9" s="93" t="s">
        <v>757</v>
      </c>
      <c r="C9" s="256"/>
      <c r="D9" s="1075"/>
      <c r="E9" s="536"/>
      <c r="F9" s="537"/>
      <c r="G9" s="444"/>
      <c r="H9" s="447"/>
      <c r="I9" s="444"/>
      <c r="J9" s="444"/>
      <c r="K9" s="443"/>
      <c r="L9" s="443"/>
      <c r="M9" s="443"/>
      <c r="N9" s="447">
        <f aca="true" t="shared" si="0" ref="N9:N17">D9-L9+M9</f>
        <v>0</v>
      </c>
      <c r="O9" s="444">
        <f aca="true" t="shared" si="1" ref="O9:O17">J9-L9+M9</f>
        <v>0</v>
      </c>
      <c r="P9" s="448">
        <v>0</v>
      </c>
      <c r="Q9" s="528"/>
      <c r="R9" s="529"/>
      <c r="S9" s="543"/>
      <c r="T9" s="116">
        <v>0</v>
      </c>
      <c r="U9" s="429">
        <f aca="true" t="shared" si="2" ref="U9:U17">(N9-T9)/1000</f>
        <v>0</v>
      </c>
      <c r="V9" s="435"/>
      <c r="W9" s="610">
        <f aca="true" t="shared" si="3" ref="W9:W17">(D9-P9)/1000</f>
        <v>0</v>
      </c>
      <c r="X9" s="613"/>
    </row>
    <row r="10" spans="1:24" ht="11.25">
      <c r="A10" s="92">
        <v>421000</v>
      </c>
      <c r="B10" s="93" t="s">
        <v>758</v>
      </c>
      <c r="C10" s="256"/>
      <c r="D10" s="1075">
        <f>-VLOOKUP(A10,TB!$A:$E,5,FALSE)-TB!E585</f>
        <v>96626.5</v>
      </c>
      <c r="E10" s="536"/>
      <c r="F10" s="537"/>
      <c r="G10" s="447"/>
      <c r="H10" s="447"/>
      <c r="I10" s="909"/>
      <c r="J10" s="444"/>
      <c r="K10" s="443"/>
      <c r="L10" s="443"/>
      <c r="M10" s="443"/>
      <c r="N10" s="447">
        <f t="shared" si="0"/>
        <v>96626.5</v>
      </c>
      <c r="O10" s="444">
        <f t="shared" si="1"/>
        <v>0</v>
      </c>
      <c r="P10" s="448">
        <v>164718.65</v>
      </c>
      <c r="Q10" s="528"/>
      <c r="R10" s="529"/>
      <c r="S10" s="543"/>
      <c r="T10" s="116">
        <v>127636.84</v>
      </c>
      <c r="U10" s="429">
        <f t="shared" si="2"/>
        <v>-31.010339999999996</v>
      </c>
      <c r="V10" s="435">
        <f aca="true" t="shared" si="4" ref="V10:V17">U10/T10*1000</f>
        <v>-0.24295759750868165</v>
      </c>
      <c r="W10" s="610">
        <f t="shared" si="3"/>
        <v>-68.09214999999999</v>
      </c>
      <c r="X10" s="613">
        <f aca="true" t="shared" si="5" ref="X10:X18">W10/P10*1000</f>
        <v>-0.41338458031315817</v>
      </c>
    </row>
    <row r="11" spans="1:24" ht="11.25">
      <c r="A11" s="92">
        <v>422000</v>
      </c>
      <c r="B11" s="93" t="s">
        <v>759</v>
      </c>
      <c r="C11" s="256"/>
      <c r="D11" s="1075">
        <f>-VLOOKUP(A11,TB!$A:$E,5,FALSE)</f>
        <v>539026.3</v>
      </c>
      <c r="E11" s="536"/>
      <c r="F11" s="537"/>
      <c r="G11" s="447"/>
      <c r="H11" s="447"/>
      <c r="I11" s="909"/>
      <c r="J11" s="444"/>
      <c r="K11" s="443"/>
      <c r="L11" s="443"/>
      <c r="M11" s="443"/>
      <c r="N11" s="447">
        <f t="shared" si="0"/>
        <v>539026.3</v>
      </c>
      <c r="O11" s="444">
        <f t="shared" si="1"/>
        <v>0</v>
      </c>
      <c r="P11" s="448">
        <v>318263.51</v>
      </c>
      <c r="Q11" s="528"/>
      <c r="R11" s="529"/>
      <c r="S11" s="543"/>
      <c r="T11" s="116">
        <v>600476.05</v>
      </c>
      <c r="U11" s="429">
        <f t="shared" si="2"/>
        <v>-61.44975</v>
      </c>
      <c r="V11" s="435">
        <f t="shared" si="4"/>
        <v>-0.10233505566125409</v>
      </c>
      <c r="W11" s="610">
        <f t="shared" si="3"/>
        <v>220.76279000000002</v>
      </c>
      <c r="X11" s="613">
        <f t="shared" si="5"/>
        <v>0.6936478203234797</v>
      </c>
    </row>
    <row r="12" spans="1:24" ht="11.25">
      <c r="A12" s="92">
        <v>422201</v>
      </c>
      <c r="B12" s="93" t="s">
        <v>1025</v>
      </c>
      <c r="C12" s="256"/>
      <c r="D12" s="1075"/>
      <c r="E12" s="536"/>
      <c r="F12" s="537"/>
      <c r="G12" s="447"/>
      <c r="H12" s="447"/>
      <c r="I12" s="114"/>
      <c r="J12" s="444"/>
      <c r="K12" s="443"/>
      <c r="L12" s="443"/>
      <c r="M12" s="443"/>
      <c r="N12" s="447">
        <f t="shared" si="0"/>
        <v>0</v>
      </c>
      <c r="O12" s="444">
        <f t="shared" si="1"/>
        <v>0</v>
      </c>
      <c r="P12" s="448">
        <v>0</v>
      </c>
      <c r="Q12" s="528"/>
      <c r="R12" s="529"/>
      <c r="S12" s="543"/>
      <c r="T12" s="116">
        <v>0</v>
      </c>
      <c r="U12" s="429">
        <f t="shared" si="2"/>
        <v>0</v>
      </c>
      <c r="V12" s="435"/>
      <c r="W12" s="610">
        <f t="shared" si="3"/>
        <v>0</v>
      </c>
      <c r="X12" s="613"/>
    </row>
    <row r="13" spans="1:24" ht="11.25">
      <c r="A13" s="1081">
        <v>423000</v>
      </c>
      <c r="B13" s="93" t="s">
        <v>761</v>
      </c>
      <c r="C13" s="256"/>
      <c r="D13" s="1075"/>
      <c r="E13" s="538"/>
      <c r="F13" s="537"/>
      <c r="G13" s="447"/>
      <c r="H13" s="447"/>
      <c r="I13" s="909"/>
      <c r="J13" s="444"/>
      <c r="K13" s="1093"/>
      <c r="L13" s="443"/>
      <c r="M13" s="443"/>
      <c r="N13" s="447">
        <f t="shared" si="0"/>
        <v>0</v>
      </c>
      <c r="O13" s="444">
        <f t="shared" si="1"/>
        <v>0</v>
      </c>
      <c r="P13" s="448">
        <v>0</v>
      </c>
      <c r="Q13" s="528"/>
      <c r="R13" s="529"/>
      <c r="S13" s="543"/>
      <c r="T13" s="116">
        <v>0</v>
      </c>
      <c r="U13" s="429">
        <f t="shared" si="2"/>
        <v>0</v>
      </c>
      <c r="V13" s="435" t="e">
        <f t="shared" si="4"/>
        <v>#DIV/0!</v>
      </c>
      <c r="W13" s="610">
        <f t="shared" si="3"/>
        <v>0</v>
      </c>
      <c r="X13" s="613" t="e">
        <f t="shared" si="5"/>
        <v>#DIV/0!</v>
      </c>
    </row>
    <row r="14" spans="1:24" ht="11.25" customHeight="1">
      <c r="A14" s="357">
        <v>423100</v>
      </c>
      <c r="B14" s="93" t="s">
        <v>953</v>
      </c>
      <c r="C14" s="256"/>
      <c r="D14" s="1075">
        <f>-VLOOKUP(A14,TB!$A:$E,5,FALSE)</f>
        <v>7185.02</v>
      </c>
      <c r="E14" s="536"/>
      <c r="F14" s="537"/>
      <c r="G14" s="530"/>
      <c r="H14" s="447"/>
      <c r="I14" s="909"/>
      <c r="J14" s="444"/>
      <c r="K14" s="443"/>
      <c r="L14" s="443"/>
      <c r="M14" s="443"/>
      <c r="N14" s="447">
        <f t="shared" si="0"/>
        <v>7185.02</v>
      </c>
      <c r="O14" s="444">
        <f t="shared" si="1"/>
        <v>0</v>
      </c>
      <c r="P14" s="448">
        <v>155655.24</v>
      </c>
      <c r="Q14" s="528"/>
      <c r="R14" s="529"/>
      <c r="S14" s="543"/>
      <c r="T14" s="116">
        <v>82364.75</v>
      </c>
      <c r="U14" s="429">
        <f t="shared" si="2"/>
        <v>-75.17972999999999</v>
      </c>
      <c r="V14" s="435">
        <f t="shared" si="4"/>
        <v>-0.9127658373272546</v>
      </c>
      <c r="W14" s="610">
        <f t="shared" si="3"/>
        <v>-148.47022</v>
      </c>
      <c r="X14" s="613">
        <f t="shared" si="5"/>
        <v>-0.9538401662546023</v>
      </c>
    </row>
    <row r="15" spans="1:24" ht="11.25">
      <c r="A15" s="239">
        <v>551100</v>
      </c>
      <c r="B15" s="209" t="s">
        <v>838</v>
      </c>
      <c r="C15" s="258"/>
      <c r="D15" s="1075">
        <f>-VLOOKUP(A15,TB!$A:$E,5,FALSE)</f>
        <v>382403.47</v>
      </c>
      <c r="E15" s="536"/>
      <c r="F15" s="537"/>
      <c r="G15" s="444"/>
      <c r="H15" s="447"/>
      <c r="I15" s="909"/>
      <c r="J15" s="444"/>
      <c r="K15" s="443"/>
      <c r="L15" s="443"/>
      <c r="M15" s="443"/>
      <c r="N15" s="447">
        <f>D15-L15+M15</f>
        <v>382403.47</v>
      </c>
      <c r="O15" s="444">
        <f t="shared" si="1"/>
        <v>0</v>
      </c>
      <c r="P15" s="448">
        <v>14252.71</v>
      </c>
      <c r="Q15" s="528"/>
      <c r="R15" s="529"/>
      <c r="S15" s="318"/>
      <c r="T15" s="116">
        <v>0</v>
      </c>
      <c r="U15" s="429">
        <f t="shared" si="2"/>
        <v>382.40346999999997</v>
      </c>
      <c r="V15" s="435" t="e">
        <f t="shared" si="4"/>
        <v>#DIV/0!</v>
      </c>
      <c r="W15" s="610">
        <f t="shared" si="3"/>
        <v>368.15075999999993</v>
      </c>
      <c r="X15" s="613">
        <f t="shared" si="5"/>
        <v>25.830228777544757</v>
      </c>
    </row>
    <row r="16" spans="1:24" ht="11.25">
      <c r="A16" s="92">
        <v>551190</v>
      </c>
      <c r="B16" s="209" t="s">
        <v>929</v>
      </c>
      <c r="C16" s="258"/>
      <c r="D16" s="1075"/>
      <c r="E16" s="536"/>
      <c r="F16" s="537"/>
      <c r="G16" s="447"/>
      <c r="H16" s="447"/>
      <c r="I16" s="909"/>
      <c r="J16" s="444"/>
      <c r="K16" s="936"/>
      <c r="L16" s="443"/>
      <c r="M16" s="443"/>
      <c r="N16" s="447">
        <f t="shared" si="0"/>
        <v>0</v>
      </c>
      <c r="O16" s="444">
        <f t="shared" si="1"/>
        <v>0</v>
      </c>
      <c r="P16" s="448">
        <v>0</v>
      </c>
      <c r="Q16" s="528"/>
      <c r="R16" s="529"/>
      <c r="S16" s="318"/>
      <c r="T16" s="116">
        <v>0</v>
      </c>
      <c r="U16" s="429">
        <f t="shared" si="2"/>
        <v>0</v>
      </c>
      <c r="V16" s="435" t="e">
        <f t="shared" si="4"/>
        <v>#DIV/0!</v>
      </c>
      <c r="W16" s="610">
        <f t="shared" si="3"/>
        <v>0</v>
      </c>
      <c r="X16" s="613" t="e">
        <f t="shared" si="5"/>
        <v>#DIV/0!</v>
      </c>
    </row>
    <row r="17" spans="1:24" ht="11.25">
      <c r="A17" s="259"/>
      <c r="B17" s="209"/>
      <c r="C17" s="258"/>
      <c r="D17" s="537"/>
      <c r="E17" s="536"/>
      <c r="F17" s="539"/>
      <c r="G17" s="447"/>
      <c r="H17" s="447"/>
      <c r="I17" s="444"/>
      <c r="J17" s="444"/>
      <c r="K17" s="472"/>
      <c r="L17" s="443"/>
      <c r="M17" s="443"/>
      <c r="N17" s="447">
        <f t="shared" si="0"/>
        <v>0</v>
      </c>
      <c r="O17" s="444">
        <f t="shared" si="1"/>
        <v>0</v>
      </c>
      <c r="P17" s="529">
        <v>0</v>
      </c>
      <c r="Q17" s="528"/>
      <c r="R17" s="531"/>
      <c r="S17" s="318"/>
      <c r="T17" s="116"/>
      <c r="U17" s="429">
        <f t="shared" si="2"/>
        <v>0</v>
      </c>
      <c r="V17" s="435" t="e">
        <f t="shared" si="4"/>
        <v>#DIV/0!</v>
      </c>
      <c r="W17" s="610">
        <f t="shared" si="3"/>
        <v>0</v>
      </c>
      <c r="X17" s="613"/>
    </row>
    <row r="18" spans="1:24" ht="11.25">
      <c r="A18" s="261"/>
      <c r="B18" s="262" t="s">
        <v>762</v>
      </c>
      <c r="C18" s="263"/>
      <c r="D18" s="458">
        <f>SUM(D8:D17)</f>
        <v>11198081.200000001</v>
      </c>
      <c r="E18" s="458">
        <f>SUM(E8:E16)</f>
        <v>0</v>
      </c>
      <c r="F18" s="458">
        <f>SUM(F8:F16)</f>
        <v>0</v>
      </c>
      <c r="G18" s="458">
        <f>SUM(G8:G16)</f>
        <v>0</v>
      </c>
      <c r="H18" s="458">
        <f>SUM(H8:H16)</f>
        <v>0</v>
      </c>
      <c r="I18" s="458">
        <f>SUM(I8:I16)</f>
        <v>0</v>
      </c>
      <c r="J18" s="459">
        <f>SUM(J8:J17)</f>
        <v>0</v>
      </c>
      <c r="K18" s="430"/>
      <c r="L18" s="896">
        <f>SUM(L13:L17)</f>
        <v>0</v>
      </c>
      <c r="M18" s="896">
        <f>SUM(M13:M17)</f>
        <v>0</v>
      </c>
      <c r="N18" s="669">
        <f>D18-L18+M18</f>
        <v>11198081.200000001</v>
      </c>
      <c r="O18" s="669">
        <f>J18-L18+M18</f>
        <v>0</v>
      </c>
      <c r="P18" s="461">
        <v>9352193.440000001</v>
      </c>
      <c r="Q18" s="461">
        <f>SUM(Q8:Q17)</f>
        <v>0</v>
      </c>
      <c r="R18" s="461">
        <f>SUM(R8:R17)</f>
        <v>0</v>
      </c>
      <c r="S18" s="310">
        <f>SUM(S8:S17)</f>
        <v>0</v>
      </c>
      <c r="T18" s="988">
        <f>SUM(T8:T17)</f>
        <v>10598964.350000001</v>
      </c>
      <c r="U18" s="430">
        <f>(N18-T18)/1000</f>
        <v>599.1168499999997</v>
      </c>
      <c r="V18" s="436">
        <f>U18/T18*1000</f>
        <v>0.05652598029542382</v>
      </c>
      <c r="W18" s="979">
        <f>(D18-P18)/1000</f>
        <v>1845.8877599999998</v>
      </c>
      <c r="X18" s="978">
        <f t="shared" si="5"/>
        <v>0.1973748481404379</v>
      </c>
    </row>
    <row r="19" spans="1:20" ht="11.25">
      <c r="A19" s="50"/>
      <c r="P19" s="50" t="s">
        <v>1140</v>
      </c>
      <c r="Q19" s="8"/>
      <c r="R19" s="8"/>
      <c r="S19" s="266"/>
      <c r="T19" s="1201"/>
    </row>
    <row r="20" spans="1:16" ht="11.25">
      <c r="A20" s="1" t="s">
        <v>1141</v>
      </c>
      <c r="N20" s="55"/>
      <c r="O20" s="55"/>
      <c r="P20" s="55"/>
    </row>
    <row r="21" spans="1:12" ht="11.25">
      <c r="A21" s="1" t="s">
        <v>1207</v>
      </c>
      <c r="B21" s="52"/>
      <c r="C21" s="52"/>
      <c r="D21" s="540"/>
      <c r="E21" s="540"/>
      <c r="F21" s="540"/>
      <c r="G21" s="264"/>
      <c r="H21" s="264"/>
      <c r="I21" s="264"/>
      <c r="J21" s="264"/>
      <c r="K21" s="264"/>
      <c r="L21" s="265"/>
    </row>
    <row r="22" spans="1:12" ht="11.25">
      <c r="A22" s="52"/>
      <c r="B22" s="52"/>
      <c r="C22" s="52"/>
      <c r="D22" s="541"/>
      <c r="E22" s="541"/>
      <c r="F22" s="541"/>
      <c r="G22" s="52"/>
      <c r="H22" s="52"/>
      <c r="I22" s="52"/>
      <c r="J22" s="52"/>
      <c r="K22" s="52"/>
      <c r="L22" s="265"/>
    </row>
    <row r="23" spans="1:12" ht="11.25">
      <c r="A23" s="52"/>
      <c r="B23" s="52"/>
      <c r="C23" s="52"/>
      <c r="D23" s="541"/>
      <c r="E23" s="541"/>
      <c r="F23" s="541"/>
      <c r="G23" s="52"/>
      <c r="H23" s="52"/>
      <c r="I23" s="52"/>
      <c r="J23" s="52"/>
      <c r="K23" s="52"/>
      <c r="L23" s="265"/>
    </row>
    <row r="24" spans="3:11" ht="11.25">
      <c r="C24" s="134"/>
      <c r="D24" s="542"/>
      <c r="E24" s="542"/>
      <c r="F24" s="542"/>
      <c r="G24" s="141"/>
      <c r="H24" s="141"/>
      <c r="I24" s="141"/>
      <c r="J24" s="141"/>
      <c r="K24" s="141"/>
    </row>
  </sheetData>
  <mergeCells count="11">
    <mergeCell ref="W4:X4"/>
    <mergeCell ref="U3:V3"/>
    <mergeCell ref="W2:X2"/>
    <mergeCell ref="W3:X3"/>
    <mergeCell ref="U2:V2"/>
    <mergeCell ref="U4:V4"/>
    <mergeCell ref="E2:F2"/>
    <mergeCell ref="K3:M3"/>
    <mergeCell ref="K2:M2"/>
    <mergeCell ref="I2:J2"/>
    <mergeCell ref="G2:H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113"/>
  <sheetViews>
    <sheetView workbookViewId="0" topLeftCell="A1">
      <pane xSplit="2" ySplit="6" topLeftCell="C90" activePane="bottomRight" state="frozen"/>
      <selection pane="topLeft" activeCell="G30" sqref="G30"/>
      <selection pane="topRight" activeCell="G30" sqref="G30"/>
      <selection pane="bottomLeft" activeCell="G30" sqref="G30"/>
      <selection pane="bottomRight" activeCell="G30" sqref="G30"/>
    </sheetView>
  </sheetViews>
  <sheetFormatPr defaultColWidth="9.140625" defaultRowHeight="21.75"/>
  <cols>
    <col min="1" max="1" width="11.421875" style="51" customWidth="1"/>
    <col min="2" max="2" width="34.7109375" style="51" bestFit="1" customWidth="1"/>
    <col min="3" max="3" width="7.7109375" style="51" customWidth="1"/>
    <col min="4" max="4" width="10.421875" style="416" customWidth="1"/>
    <col min="5" max="5" width="9.8515625" style="416" hidden="1" customWidth="1"/>
    <col min="6" max="6" width="11.28125" style="416" hidden="1" customWidth="1"/>
    <col min="7" max="7" width="11.28125" style="51" hidden="1" customWidth="1"/>
    <col min="8" max="8" width="10.421875" style="51" hidden="1" customWidth="1"/>
    <col min="9" max="9" width="12.00390625" style="196" hidden="1" customWidth="1"/>
    <col min="10" max="10" width="9.8515625" style="51" hidden="1" customWidth="1"/>
    <col min="11" max="11" width="9.57421875" style="231" customWidth="1"/>
    <col min="12" max="12" width="11.421875" style="54" customWidth="1"/>
    <col min="13" max="13" width="10.8515625" style="54" customWidth="1"/>
    <col min="14" max="14" width="11.28125" style="54" customWidth="1"/>
    <col min="15" max="15" width="9.8515625" style="54" hidden="1" customWidth="1"/>
    <col min="16" max="16" width="10.421875" style="51" customWidth="1"/>
    <col min="17" max="17" width="9.8515625" style="51" hidden="1" customWidth="1"/>
    <col min="18" max="18" width="10.7109375" style="51" hidden="1" customWidth="1"/>
    <col min="19" max="19" width="11.57421875" style="54" hidden="1" customWidth="1"/>
    <col min="20" max="20" width="12.28125" style="54" customWidth="1"/>
    <col min="21" max="21" width="8.28125" style="51" bestFit="1" customWidth="1"/>
    <col min="22" max="22" width="7.7109375" style="51" customWidth="1"/>
    <col min="23" max="23" width="7.421875" style="51" bestFit="1" customWidth="1"/>
    <col min="24" max="24" width="7.57421875" style="51" bestFit="1" customWidth="1"/>
    <col min="25" max="16384" width="9.140625" style="51" customWidth="1"/>
  </cols>
  <sheetData>
    <row r="1" spans="1:20" ht="11.25">
      <c r="A1" s="60" t="s">
        <v>485</v>
      </c>
      <c r="B1" s="60"/>
      <c r="C1" s="60"/>
      <c r="G1" s="60"/>
      <c r="H1" s="60"/>
      <c r="I1" s="911"/>
      <c r="J1" s="60"/>
      <c r="P1" s="60"/>
      <c r="Q1" s="60"/>
      <c r="R1" s="60"/>
      <c r="S1" s="232"/>
      <c r="T1" s="232"/>
    </row>
    <row r="2" spans="1:24" ht="20.25" customHeight="1">
      <c r="A2" s="63"/>
      <c r="B2" s="64"/>
      <c r="C2" s="63"/>
      <c r="D2" s="1069" t="str">
        <f>'6000'!D3</f>
        <v>Quarter 1'08</v>
      </c>
      <c r="E2" s="1713" t="s">
        <v>956</v>
      </c>
      <c r="F2" s="1714"/>
      <c r="G2" s="1715" t="s">
        <v>957</v>
      </c>
      <c r="H2" s="1716"/>
      <c r="I2" s="1715" t="s">
        <v>958</v>
      </c>
      <c r="J2" s="1716"/>
      <c r="K2" s="1690" t="s">
        <v>486</v>
      </c>
      <c r="L2" s="477"/>
      <c r="M2" s="285"/>
      <c r="N2" s="1071" t="str">
        <f>'6000'!H3</f>
        <v>Quarter 1'08</v>
      </c>
      <c r="O2" s="1035"/>
      <c r="P2" s="65" t="s">
        <v>927</v>
      </c>
      <c r="Q2" s="65" t="s">
        <v>927</v>
      </c>
      <c r="R2" s="65" t="s">
        <v>927</v>
      </c>
      <c r="S2" s="1036" t="s">
        <v>252</v>
      </c>
      <c r="T2" s="65" t="s">
        <v>927</v>
      </c>
      <c r="U2" s="1686" t="s">
        <v>487</v>
      </c>
      <c r="V2" s="1687"/>
      <c r="W2" s="1686" t="s">
        <v>487</v>
      </c>
      <c r="X2" s="1687"/>
    </row>
    <row r="3" spans="1:24" ht="20.25" customHeight="1">
      <c r="A3" s="67" t="s">
        <v>488</v>
      </c>
      <c r="B3" s="68"/>
      <c r="C3" s="67"/>
      <c r="D3" s="1067">
        <f>'6000'!D4</f>
        <v>39538</v>
      </c>
      <c r="E3" s="425">
        <v>38898</v>
      </c>
      <c r="F3" s="605">
        <v>38898</v>
      </c>
      <c r="G3" s="69">
        <v>38990</v>
      </c>
      <c r="H3" s="70">
        <v>38990</v>
      </c>
      <c r="I3" s="69">
        <v>39082</v>
      </c>
      <c r="J3" s="70">
        <v>39082</v>
      </c>
      <c r="K3" s="1692" t="s">
        <v>489</v>
      </c>
      <c r="L3" s="1500"/>
      <c r="M3" s="1501"/>
      <c r="N3" s="1072">
        <f>'6000'!H4</f>
        <v>39538</v>
      </c>
      <c r="O3" s="70">
        <v>39082</v>
      </c>
      <c r="P3" s="71">
        <f>'6000'!I4</f>
        <v>39172</v>
      </c>
      <c r="Q3" s="71" t="e">
        <f>'6000'!#REF!</f>
        <v>#REF!</v>
      </c>
      <c r="R3" s="71" t="e">
        <f>'6000'!#REF!</f>
        <v>#REF!</v>
      </c>
      <c r="S3" s="480" t="e">
        <f>'6000'!#REF!</f>
        <v>#REF!</v>
      </c>
      <c r="T3" s="480">
        <f>'6000'!J4</f>
        <v>39447</v>
      </c>
      <c r="U3" s="1085">
        <f>'6000'!K4</f>
        <v>39447</v>
      </c>
      <c r="V3" s="509">
        <f>'6000'!L4</f>
        <v>0</v>
      </c>
      <c r="W3" s="1731">
        <f>'6000'!M4</f>
        <v>39172</v>
      </c>
      <c r="X3" s="1732">
        <f>'6000'!N4</f>
        <v>0</v>
      </c>
    </row>
    <row r="4" spans="1:24" ht="11.25">
      <c r="A4" s="73" t="s">
        <v>491</v>
      </c>
      <c r="B4" s="74" t="s">
        <v>492</v>
      </c>
      <c r="C4" s="73" t="s">
        <v>493</v>
      </c>
      <c r="D4" s="1068" t="s">
        <v>869</v>
      </c>
      <c r="E4" s="425" t="s">
        <v>932</v>
      </c>
      <c r="F4" s="425" t="s">
        <v>869</v>
      </c>
      <c r="G4" s="69" t="s">
        <v>933</v>
      </c>
      <c r="H4" s="69" t="s">
        <v>869</v>
      </c>
      <c r="I4" s="912" t="s">
        <v>885</v>
      </c>
      <c r="J4" s="69" t="s">
        <v>869</v>
      </c>
      <c r="K4" s="75" t="s">
        <v>494</v>
      </c>
      <c r="L4" s="76" t="s">
        <v>495</v>
      </c>
      <c r="M4" s="77" t="s">
        <v>496</v>
      </c>
      <c r="N4" s="1068" t="s">
        <v>869</v>
      </c>
      <c r="O4" s="70" t="s">
        <v>869</v>
      </c>
      <c r="P4" s="480" t="s">
        <v>869</v>
      </c>
      <c r="Q4" s="480" t="s">
        <v>932</v>
      </c>
      <c r="R4" s="79" t="s">
        <v>933</v>
      </c>
      <c r="S4" s="480" t="s">
        <v>885</v>
      </c>
      <c r="T4" s="480" t="s">
        <v>869</v>
      </c>
      <c r="U4" s="1685" t="s">
        <v>869</v>
      </c>
      <c r="V4" s="1711"/>
      <c r="W4" s="1717" t="s">
        <v>869</v>
      </c>
      <c r="X4" s="1718"/>
    </row>
    <row r="5" spans="1:24" ht="11.25">
      <c r="A5" s="81"/>
      <c r="B5" s="82"/>
      <c r="C5" s="82"/>
      <c r="D5" s="1060" t="s">
        <v>497</v>
      </c>
      <c r="E5" s="417" t="s">
        <v>497</v>
      </c>
      <c r="F5" s="417" t="s">
        <v>497</v>
      </c>
      <c r="G5" s="76" t="s">
        <v>497</v>
      </c>
      <c r="H5" s="76" t="s">
        <v>497</v>
      </c>
      <c r="I5" s="913" t="s">
        <v>497</v>
      </c>
      <c r="J5" s="76" t="s">
        <v>497</v>
      </c>
      <c r="K5" s="83" t="s">
        <v>498</v>
      </c>
      <c r="L5" s="77" t="s">
        <v>497</v>
      </c>
      <c r="M5" s="77" t="s">
        <v>497</v>
      </c>
      <c r="N5" s="1060" t="s">
        <v>497</v>
      </c>
      <c r="O5" s="77" t="s">
        <v>497</v>
      </c>
      <c r="P5" s="84" t="s">
        <v>497</v>
      </c>
      <c r="Q5" s="84" t="s">
        <v>497</v>
      </c>
      <c r="R5" s="84" t="s">
        <v>497</v>
      </c>
      <c r="S5" s="84" t="s">
        <v>497</v>
      </c>
      <c r="T5" s="84" t="s">
        <v>497</v>
      </c>
      <c r="U5" s="77" t="s">
        <v>499</v>
      </c>
      <c r="V5" s="297" t="s">
        <v>500</v>
      </c>
      <c r="W5" s="77" t="s">
        <v>499</v>
      </c>
      <c r="X5" s="80" t="s">
        <v>500</v>
      </c>
    </row>
    <row r="6" spans="1:24" ht="11.25">
      <c r="A6" s="9"/>
      <c r="B6" s="20"/>
      <c r="C6" s="87"/>
      <c r="D6" s="418"/>
      <c r="E6" s="418"/>
      <c r="F6" s="418"/>
      <c r="G6" s="87"/>
      <c r="H6" s="87"/>
      <c r="I6" s="485"/>
      <c r="J6" s="87"/>
      <c r="K6" s="233"/>
      <c r="L6" s="89"/>
      <c r="M6" s="220"/>
      <c r="N6" s="306"/>
      <c r="O6" s="408"/>
      <c r="P6" s="407"/>
      <c r="Q6" s="87"/>
      <c r="R6" s="87"/>
      <c r="S6" s="87"/>
      <c r="T6" s="87"/>
      <c r="U6" s="234"/>
      <c r="V6" s="234"/>
      <c r="W6" s="255"/>
      <c r="X6" s="234"/>
    </row>
    <row r="7" spans="1:24" ht="11.25">
      <c r="A7" s="206"/>
      <c r="B7" s="236" t="s">
        <v>763</v>
      </c>
      <c r="C7" s="91"/>
      <c r="D7" s="562"/>
      <c r="E7" s="440"/>
      <c r="F7" s="440"/>
      <c r="G7" s="441"/>
      <c r="H7" s="441"/>
      <c r="I7" s="333"/>
      <c r="J7" s="441"/>
      <c r="K7" s="471"/>
      <c r="L7" s="443"/>
      <c r="M7" s="527"/>
      <c r="N7" s="544"/>
      <c r="O7" s="544"/>
      <c r="P7" s="464"/>
      <c r="Q7" s="441"/>
      <c r="R7" s="441"/>
      <c r="S7" s="111"/>
      <c r="T7" s="111"/>
      <c r="U7" s="561"/>
      <c r="V7" s="235"/>
      <c r="W7" s="561"/>
      <c r="X7" s="235"/>
    </row>
    <row r="8" spans="1:24" ht="11.25">
      <c r="A8" s="19">
        <v>550200</v>
      </c>
      <c r="B8" s="209" t="s">
        <v>764</v>
      </c>
      <c r="C8" s="91"/>
      <c r="D8" s="566">
        <f>VLOOKUP(A8,TB!$A:$E,5,FALSE)</f>
        <v>4048263.32</v>
      </c>
      <c r="E8" s="446"/>
      <c r="F8" s="446"/>
      <c r="G8" s="444"/>
      <c r="H8" s="444"/>
      <c r="I8" s="151"/>
      <c r="J8" s="444"/>
      <c r="K8" s="443"/>
      <c r="L8" s="443"/>
      <c r="M8" s="443"/>
      <c r="N8" s="447">
        <f>D8+L8-M8</f>
        <v>4048263.32</v>
      </c>
      <c r="O8" s="444">
        <f>J8-L8+M8</f>
        <v>0</v>
      </c>
      <c r="P8" s="445">
        <v>2631139</v>
      </c>
      <c r="Q8" s="448"/>
      <c r="R8" s="991"/>
      <c r="S8" s="999"/>
      <c r="T8" s="999">
        <v>3830229.4</v>
      </c>
      <c r="U8" s="429">
        <f>(N8-T8)/1000</f>
        <v>218.03391999999994</v>
      </c>
      <c r="V8" s="435">
        <f>U8/T8*1000</f>
        <v>0.056924506923788934</v>
      </c>
      <c r="W8" s="610">
        <f>(D8-P8)/1000</f>
        <v>1417.12432</v>
      </c>
      <c r="X8" s="613">
        <f>W8/P8*1000</f>
        <v>0.5385972842939882</v>
      </c>
    </row>
    <row r="9" spans="1:24" ht="11.25">
      <c r="A9" s="19">
        <v>550210</v>
      </c>
      <c r="B9" s="209" t="s">
        <v>688</v>
      </c>
      <c r="C9" s="91"/>
      <c r="D9" s="566">
        <f>VLOOKUP(A9,TB!$A:$E,5,FALSE)</f>
        <v>6821035.57</v>
      </c>
      <c r="E9" s="446"/>
      <c r="F9" s="446"/>
      <c r="G9" s="444"/>
      <c r="H9" s="444"/>
      <c r="I9" s="151"/>
      <c r="J9" s="444"/>
      <c r="K9" s="471"/>
      <c r="L9" s="463"/>
      <c r="M9" s="545"/>
      <c r="N9" s="447">
        <f aca="true" t="shared" si="0" ref="N9:N17">D9+L9-M9</f>
        <v>6821035.57</v>
      </c>
      <c r="O9" s="444">
        <f aca="true" t="shared" si="1" ref="O9:O18">J9-L9+M9</f>
        <v>0</v>
      </c>
      <c r="P9" s="445">
        <v>5351519.66</v>
      </c>
      <c r="Q9" s="448"/>
      <c r="R9" s="991"/>
      <c r="S9" s="999"/>
      <c r="T9" s="999">
        <v>6165286.959999999</v>
      </c>
      <c r="U9" s="429">
        <f aca="true" t="shared" si="2" ref="U9:U17">(N9-T9)/1000</f>
        <v>655.7486100000012</v>
      </c>
      <c r="V9" s="435">
        <f aca="true" t="shared" si="3" ref="V9:V17">U9/T9*1000</f>
        <v>0.10636140933170796</v>
      </c>
      <c r="W9" s="610">
        <f aca="true" t="shared" si="4" ref="W9:W18">(D9-P9)/1000</f>
        <v>1469.51591</v>
      </c>
      <c r="X9" s="613">
        <f aca="true" t="shared" si="5" ref="X9:X18">W9/P9*1000</f>
        <v>0.27459787188747803</v>
      </c>
    </row>
    <row r="10" spans="1:24" ht="11.25">
      <c r="A10" s="19">
        <v>550220</v>
      </c>
      <c r="B10" s="209" t="s">
        <v>765</v>
      </c>
      <c r="C10" s="91"/>
      <c r="D10" s="566">
        <f>VLOOKUP(A10,TB!$A:$E,5,FALSE)</f>
        <v>73871.79</v>
      </c>
      <c r="E10" s="446"/>
      <c r="F10" s="446"/>
      <c r="G10" s="444"/>
      <c r="H10" s="444"/>
      <c r="I10" s="151"/>
      <c r="J10" s="444"/>
      <c r="K10" s="471"/>
      <c r="L10" s="463"/>
      <c r="M10" s="545"/>
      <c r="N10" s="447">
        <f t="shared" si="0"/>
        <v>73871.79</v>
      </c>
      <c r="O10" s="444">
        <f t="shared" si="1"/>
        <v>0</v>
      </c>
      <c r="P10" s="445">
        <v>72503.02</v>
      </c>
      <c r="Q10" s="448"/>
      <c r="R10" s="991"/>
      <c r="S10" s="999"/>
      <c r="T10" s="999">
        <v>72125.52</v>
      </c>
      <c r="U10" s="429">
        <f t="shared" si="2"/>
        <v>1.7462699999999896</v>
      </c>
      <c r="V10" s="435">
        <f t="shared" si="3"/>
        <v>0.02421154121315159</v>
      </c>
      <c r="W10" s="610">
        <f t="shared" si="4"/>
        <v>1.3687699999999896</v>
      </c>
      <c r="X10" s="613">
        <f t="shared" si="5"/>
        <v>0.01887879980723547</v>
      </c>
    </row>
    <row r="11" spans="1:24" ht="11.25">
      <c r="A11" s="19">
        <v>550230</v>
      </c>
      <c r="B11" s="209" t="s">
        <v>766</v>
      </c>
      <c r="C11" s="91"/>
      <c r="D11" s="566">
        <f>VLOOKUP(A11,TB!$A:$E,5,FALSE)</f>
        <v>200</v>
      </c>
      <c r="E11" s="446"/>
      <c r="F11" s="446"/>
      <c r="G11" s="444"/>
      <c r="H11" s="444"/>
      <c r="I11" s="151"/>
      <c r="J11" s="444"/>
      <c r="K11" s="471"/>
      <c r="L11" s="463"/>
      <c r="M11" s="545"/>
      <c r="N11" s="447">
        <f t="shared" si="0"/>
        <v>200</v>
      </c>
      <c r="O11" s="444">
        <f t="shared" si="1"/>
        <v>0</v>
      </c>
      <c r="P11" s="445">
        <v>0</v>
      </c>
      <c r="Q11" s="448"/>
      <c r="R11" s="991"/>
      <c r="S11" s="999"/>
      <c r="T11" s="999">
        <v>1300</v>
      </c>
      <c r="U11" s="429">
        <f t="shared" si="2"/>
        <v>-1.1</v>
      </c>
      <c r="V11" s="435">
        <f t="shared" si="3"/>
        <v>-0.8461538461538461</v>
      </c>
      <c r="W11" s="610">
        <f t="shared" si="4"/>
        <v>0.2</v>
      </c>
      <c r="X11" s="613" t="e">
        <f t="shared" si="5"/>
        <v>#DIV/0!</v>
      </c>
    </row>
    <row r="12" spans="1:24" ht="11.25">
      <c r="A12" s="19">
        <v>550240</v>
      </c>
      <c r="B12" s="209" t="s">
        <v>767</v>
      </c>
      <c r="C12" s="91"/>
      <c r="D12" s="566">
        <f>VLOOKUP(A12,TB!$A:$E,5,FALSE)</f>
        <v>1679558.46</v>
      </c>
      <c r="E12" s="446"/>
      <c r="F12" s="446"/>
      <c r="G12" s="444"/>
      <c r="H12" s="444"/>
      <c r="I12" s="151"/>
      <c r="J12" s="444"/>
      <c r="K12" s="471"/>
      <c r="L12" s="463"/>
      <c r="M12" s="545"/>
      <c r="N12" s="447">
        <f t="shared" si="0"/>
        <v>1679558.46</v>
      </c>
      <c r="O12" s="444">
        <f t="shared" si="1"/>
        <v>0</v>
      </c>
      <c r="P12" s="445">
        <v>715795.43</v>
      </c>
      <c r="Q12" s="448"/>
      <c r="R12" s="991"/>
      <c r="S12" s="999"/>
      <c r="T12" s="999">
        <v>1321439.31</v>
      </c>
      <c r="U12" s="429">
        <f t="shared" si="2"/>
        <v>358.11914999999993</v>
      </c>
      <c r="V12" s="435">
        <f t="shared" si="3"/>
        <v>0.27100688415270463</v>
      </c>
      <c r="W12" s="610">
        <f t="shared" si="4"/>
        <v>963.76303</v>
      </c>
      <c r="X12" s="613">
        <f t="shared" si="5"/>
        <v>1.3464224408362035</v>
      </c>
    </row>
    <row r="13" spans="1:24" ht="11.25">
      <c r="A13" s="19">
        <v>550250</v>
      </c>
      <c r="B13" s="209" t="s">
        <v>768</v>
      </c>
      <c r="C13" s="91"/>
      <c r="D13" s="566">
        <f>VLOOKUP(A13,TB!$A:$E,5,FALSE)</f>
        <v>248846.66999999998</v>
      </c>
      <c r="E13" s="446"/>
      <c r="F13" s="446"/>
      <c r="G13" s="444"/>
      <c r="H13" s="444"/>
      <c r="I13" s="151"/>
      <c r="J13" s="444"/>
      <c r="K13" s="471"/>
      <c r="L13" s="463"/>
      <c r="M13" s="545"/>
      <c r="N13" s="447">
        <f t="shared" si="0"/>
        <v>248846.66999999998</v>
      </c>
      <c r="O13" s="444">
        <f t="shared" si="1"/>
        <v>0</v>
      </c>
      <c r="P13" s="445">
        <v>18354.93</v>
      </c>
      <c r="Q13" s="448"/>
      <c r="R13" s="991"/>
      <c r="S13" s="999"/>
      <c r="T13" s="999">
        <v>218506.83</v>
      </c>
      <c r="U13" s="429">
        <f t="shared" si="2"/>
        <v>30.339839999999995</v>
      </c>
      <c r="V13" s="435">
        <f t="shared" si="3"/>
        <v>0.13885076269698296</v>
      </c>
      <c r="W13" s="610">
        <f t="shared" si="4"/>
        <v>230.49174</v>
      </c>
      <c r="X13" s="613">
        <f t="shared" si="5"/>
        <v>12.557484011107642</v>
      </c>
    </row>
    <row r="14" spans="1:24" ht="11.25">
      <c r="A14" s="19">
        <v>550251</v>
      </c>
      <c r="B14" s="209" t="s">
        <v>769</v>
      </c>
      <c r="C14" s="91"/>
      <c r="D14" s="566">
        <f>VLOOKUP(A14,TB!$A:$E,5,FALSE)</f>
        <v>2747886.16</v>
      </c>
      <c r="E14" s="446"/>
      <c r="F14" s="446"/>
      <c r="G14" s="444"/>
      <c r="H14" s="444"/>
      <c r="I14" s="151"/>
      <c r="J14" s="444"/>
      <c r="K14" s="712"/>
      <c r="L14" s="462"/>
      <c r="M14" s="545"/>
      <c r="N14" s="447">
        <f t="shared" si="0"/>
        <v>2747886.16</v>
      </c>
      <c r="O14" s="444">
        <f t="shared" si="1"/>
        <v>0</v>
      </c>
      <c r="P14" s="445">
        <v>1503763.61</v>
      </c>
      <c r="Q14" s="667"/>
      <c r="R14" s="664"/>
      <c r="S14" s="1000"/>
      <c r="T14" s="999">
        <v>3232810.92</v>
      </c>
      <c r="U14" s="429">
        <f t="shared" si="2"/>
        <v>-484.92475999999976</v>
      </c>
      <c r="V14" s="435">
        <f t="shared" si="3"/>
        <v>-0.15000096572304322</v>
      </c>
      <c r="W14" s="610">
        <f t="shared" si="4"/>
        <v>1244.12255</v>
      </c>
      <c r="X14" s="613">
        <f t="shared" si="5"/>
        <v>0.8273391786625293</v>
      </c>
    </row>
    <row r="15" spans="1:24" ht="11.25">
      <c r="A15" s="19">
        <v>550290</v>
      </c>
      <c r="B15" s="209" t="s">
        <v>770</v>
      </c>
      <c r="C15" s="91"/>
      <c r="D15" s="566">
        <f>VLOOKUP(A15,TB!$A:$E,5,FALSE)</f>
        <v>587047.7699999999</v>
      </c>
      <c r="E15" s="446"/>
      <c r="F15" s="446"/>
      <c r="G15" s="444"/>
      <c r="H15" s="444"/>
      <c r="I15" s="151"/>
      <c r="J15" s="444"/>
      <c r="K15" s="712"/>
      <c r="L15" s="462"/>
      <c r="M15" s="545"/>
      <c r="N15" s="447">
        <f t="shared" si="0"/>
        <v>587047.7699999999</v>
      </c>
      <c r="O15" s="444">
        <f t="shared" si="1"/>
        <v>0</v>
      </c>
      <c r="P15" s="445">
        <v>497808.89</v>
      </c>
      <c r="Q15" s="667"/>
      <c r="R15" s="664"/>
      <c r="S15" s="1000"/>
      <c r="T15" s="999">
        <v>510422.37</v>
      </c>
      <c r="U15" s="429">
        <f t="shared" si="2"/>
        <v>76.62539999999991</v>
      </c>
      <c r="V15" s="435">
        <f t="shared" si="3"/>
        <v>0.15012155521318535</v>
      </c>
      <c r="W15" s="610">
        <f t="shared" si="4"/>
        <v>89.2388799999999</v>
      </c>
      <c r="X15" s="613">
        <f t="shared" si="5"/>
        <v>0.1792633313559344</v>
      </c>
    </row>
    <row r="16" spans="1:24" ht="11.25">
      <c r="A16" s="19">
        <v>551120</v>
      </c>
      <c r="B16" s="209" t="s">
        <v>771</v>
      </c>
      <c r="C16" s="91"/>
      <c r="D16" s="566">
        <f>VLOOKUP(A16,TB!$A:$E,5,FALSE)</f>
        <v>121278.45999999999</v>
      </c>
      <c r="E16" s="446"/>
      <c r="F16" s="446"/>
      <c r="G16" s="444"/>
      <c r="H16" s="444"/>
      <c r="I16" s="151"/>
      <c r="J16" s="444"/>
      <c r="K16" s="712"/>
      <c r="L16" s="462"/>
      <c r="M16" s="545"/>
      <c r="N16" s="447">
        <f t="shared" si="0"/>
        <v>121278.45999999999</v>
      </c>
      <c r="O16" s="444">
        <f t="shared" si="1"/>
        <v>0</v>
      </c>
      <c r="P16" s="445">
        <v>123488.61</v>
      </c>
      <c r="Q16" s="667"/>
      <c r="R16" s="664"/>
      <c r="S16" s="1000"/>
      <c r="T16" s="999">
        <v>103805.37</v>
      </c>
      <c r="U16" s="429">
        <f t="shared" si="2"/>
        <v>17.473089999999996</v>
      </c>
      <c r="V16" s="435">
        <f t="shared" si="3"/>
        <v>0.16832549221682847</v>
      </c>
      <c r="W16" s="610">
        <f t="shared" si="4"/>
        <v>-2.210150000000009</v>
      </c>
      <c r="X16" s="613">
        <f t="shared" si="5"/>
        <v>-0.01789760205414903</v>
      </c>
    </row>
    <row r="17" spans="1:24" ht="11.25">
      <c r="A17" s="19">
        <v>550190</v>
      </c>
      <c r="B17" s="209" t="s">
        <v>772</v>
      </c>
      <c r="C17" s="91"/>
      <c r="D17" s="566">
        <f>VLOOKUP(A17,TB!$A:$E,5,FALSE)</f>
        <v>187060.69</v>
      </c>
      <c r="E17" s="446"/>
      <c r="F17" s="446"/>
      <c r="G17" s="444"/>
      <c r="H17" s="444"/>
      <c r="I17" s="151"/>
      <c r="J17" s="444"/>
      <c r="K17" s="712"/>
      <c r="L17" s="462"/>
      <c r="M17" s="545"/>
      <c r="N17" s="447">
        <f t="shared" si="0"/>
        <v>187060.69</v>
      </c>
      <c r="O17" s="444">
        <f t="shared" si="1"/>
        <v>0</v>
      </c>
      <c r="P17" s="445">
        <v>392383.01</v>
      </c>
      <c r="Q17" s="667"/>
      <c r="R17" s="664"/>
      <c r="S17" s="1000"/>
      <c r="T17" s="999">
        <v>775954.99</v>
      </c>
      <c r="U17" s="429">
        <f t="shared" si="2"/>
        <v>-588.8943</v>
      </c>
      <c r="V17" s="435">
        <f t="shared" si="3"/>
        <v>-0.7589284270212633</v>
      </c>
      <c r="W17" s="610">
        <f t="shared" si="4"/>
        <v>-205.32232000000002</v>
      </c>
      <c r="X17" s="613">
        <f t="shared" si="5"/>
        <v>-0.52327015891947</v>
      </c>
    </row>
    <row r="18" spans="1:24" s="3" customFormat="1" ht="11.25">
      <c r="A18" s="574"/>
      <c r="B18" s="236" t="s">
        <v>773</v>
      </c>
      <c r="C18" s="97"/>
      <c r="D18" s="1283">
        <f aca="true" t="shared" si="6" ref="D18:J18">SUM(D8:D17)</f>
        <v>16515048.89</v>
      </c>
      <c r="E18" s="575">
        <f t="shared" si="6"/>
        <v>0</v>
      </c>
      <c r="F18" s="575">
        <f t="shared" si="6"/>
        <v>0</v>
      </c>
      <c r="G18" s="575">
        <f t="shared" si="6"/>
        <v>0</v>
      </c>
      <c r="H18" s="575">
        <f t="shared" si="6"/>
        <v>0</v>
      </c>
      <c r="I18" s="575">
        <f t="shared" si="6"/>
        <v>0</v>
      </c>
      <c r="J18" s="575">
        <f t="shared" si="6"/>
        <v>0</v>
      </c>
      <c r="K18" s="454"/>
      <c r="L18" s="454">
        <f>SUM(L8:L17)</f>
        <v>0</v>
      </c>
      <c r="M18" s="454">
        <f>SUM(M8:M17)</f>
        <v>0</v>
      </c>
      <c r="N18" s="454">
        <f>D18+L18-M18</f>
        <v>16515048.89</v>
      </c>
      <c r="O18" s="857">
        <f t="shared" si="1"/>
        <v>0</v>
      </c>
      <c r="P18" s="548">
        <v>11306756.159999998</v>
      </c>
      <c r="Q18" s="548">
        <f>SUM(Q8:Q17)</f>
        <v>0</v>
      </c>
      <c r="R18" s="992">
        <f>SUM(R8:R17)</f>
        <v>0</v>
      </c>
      <c r="S18" s="1001">
        <f>SUM(S8:S17)</f>
        <v>0</v>
      </c>
      <c r="T18" s="1001">
        <f>SUM(T8:T17)</f>
        <v>16231881.669999998</v>
      </c>
      <c r="U18" s="430">
        <f>(N18-T18)/1000</f>
        <v>283.16722000000254</v>
      </c>
      <c r="V18" s="436">
        <f>U18/T18*1000</f>
        <v>0.017445125941458552</v>
      </c>
      <c r="W18" s="979">
        <f t="shared" si="4"/>
        <v>5208.292730000002</v>
      </c>
      <c r="X18" s="978">
        <f t="shared" si="5"/>
        <v>0.46063545160949176</v>
      </c>
    </row>
    <row r="19" spans="1:24" ht="11.25">
      <c r="A19" s="19"/>
      <c r="B19" s="209"/>
      <c r="C19" s="91"/>
      <c r="D19" s="1284"/>
      <c r="E19" s="562"/>
      <c r="F19" s="440"/>
      <c r="G19" s="441"/>
      <c r="H19" s="441"/>
      <c r="I19" s="333"/>
      <c r="J19" s="530"/>
      <c r="K19" s="713"/>
      <c r="L19" s="550"/>
      <c r="M19" s="549"/>
      <c r="N19" s="550"/>
      <c r="O19" s="550"/>
      <c r="P19" s="553"/>
      <c r="Q19" s="553"/>
      <c r="R19" s="993"/>
      <c r="S19" s="1002"/>
      <c r="T19" s="1002"/>
      <c r="U19" s="561"/>
      <c r="V19" s="439"/>
      <c r="W19" s="561"/>
      <c r="X19" s="439"/>
    </row>
    <row r="20" spans="1:24" ht="11.25">
      <c r="A20" s="19"/>
      <c r="B20" s="209"/>
      <c r="C20" s="91"/>
      <c r="D20" s="1284"/>
      <c r="E20" s="563"/>
      <c r="F20" s="440"/>
      <c r="G20" s="441"/>
      <c r="H20" s="441"/>
      <c r="I20" s="333"/>
      <c r="J20" s="530"/>
      <c r="K20" s="714"/>
      <c r="L20" s="550"/>
      <c r="M20" s="549"/>
      <c r="N20" s="550"/>
      <c r="O20" s="550"/>
      <c r="P20" s="553"/>
      <c r="Q20" s="553"/>
      <c r="R20" s="993"/>
      <c r="S20" s="1002"/>
      <c r="T20" s="1002"/>
      <c r="U20" s="561"/>
      <c r="V20" s="439"/>
      <c r="W20" s="561"/>
      <c r="X20" s="439"/>
    </row>
    <row r="21" spans="1:24" ht="11.25">
      <c r="A21" s="19"/>
      <c r="B21" s="237" t="s">
        <v>774</v>
      </c>
      <c r="C21" s="91"/>
      <c r="D21" s="1284"/>
      <c r="E21" s="563"/>
      <c r="F21" s="440"/>
      <c r="G21" s="441"/>
      <c r="H21" s="441"/>
      <c r="I21" s="333"/>
      <c r="J21" s="530"/>
      <c r="K21" s="714"/>
      <c r="L21" s="550"/>
      <c r="M21" s="549"/>
      <c r="N21" s="550"/>
      <c r="O21" s="550"/>
      <c r="P21" s="553"/>
      <c r="Q21" s="553"/>
      <c r="R21" s="993"/>
      <c r="S21" s="1002"/>
      <c r="T21" s="1002"/>
      <c r="U21" s="561"/>
      <c r="V21" s="439"/>
      <c r="W21" s="561"/>
      <c r="X21" s="439"/>
    </row>
    <row r="22" spans="1:24" ht="11.25">
      <c r="A22" s="19">
        <v>550110</v>
      </c>
      <c r="B22" s="209" t="s">
        <v>713</v>
      </c>
      <c r="C22" s="91">
        <v>550110</v>
      </c>
      <c r="D22" s="566">
        <f>VLOOKUP(A22,TB!$A:$E,5,FALSE)</f>
        <v>7033831</v>
      </c>
      <c r="E22" s="564"/>
      <c r="F22" s="446"/>
      <c r="G22" s="465"/>
      <c r="H22" s="468"/>
      <c r="I22" s="151"/>
      <c r="J22" s="444"/>
      <c r="K22" s="552"/>
      <c r="L22" s="462"/>
      <c r="M22" s="545"/>
      <c r="N22" s="447">
        <f aca="true" t="shared" si="7" ref="N22:N90">D22+L22-M22</f>
        <v>7033831</v>
      </c>
      <c r="O22" s="444">
        <f>J22-L22+M22</f>
        <v>0</v>
      </c>
      <c r="P22" s="445">
        <v>6959157</v>
      </c>
      <c r="Q22" s="553"/>
      <c r="R22" s="993"/>
      <c r="S22" s="1000"/>
      <c r="T22" s="1000">
        <v>6813248.8</v>
      </c>
      <c r="U22" s="429">
        <f>(N22-T22)/1000</f>
        <v>220.5822000000002</v>
      </c>
      <c r="V22" s="435">
        <f>U22/T22*1000</f>
        <v>0.03237547996192363</v>
      </c>
      <c r="W22" s="610">
        <f>(D22-P22)/1000</f>
        <v>74.674</v>
      </c>
      <c r="X22" s="613">
        <f>W22/P22*1000</f>
        <v>0.010730322652585651</v>
      </c>
    </row>
    <row r="23" spans="1:24" ht="11.25">
      <c r="A23" s="19">
        <v>550111</v>
      </c>
      <c r="B23" s="209" t="s">
        <v>724</v>
      </c>
      <c r="C23" s="91">
        <v>550111</v>
      </c>
      <c r="D23" s="566">
        <f>VLOOKUP(A23,TB!$A:$E,5,FALSE)</f>
        <v>118629</v>
      </c>
      <c r="E23" s="564"/>
      <c r="F23" s="446"/>
      <c r="G23" s="465"/>
      <c r="H23" s="468"/>
      <c r="I23" s="151"/>
      <c r="J23" s="444"/>
      <c r="K23" s="552"/>
      <c r="L23" s="462"/>
      <c r="M23" s="545"/>
      <c r="N23" s="447">
        <f t="shared" si="7"/>
        <v>118629</v>
      </c>
      <c r="O23" s="444">
        <f aca="true" t="shared" si="8" ref="O23:O89">J23-L23+M23</f>
        <v>0</v>
      </c>
      <c r="P23" s="445">
        <v>120719</v>
      </c>
      <c r="Q23" s="553"/>
      <c r="R23" s="993"/>
      <c r="S23" s="1000"/>
      <c r="T23" s="1000">
        <v>118872</v>
      </c>
      <c r="U23" s="429">
        <f aca="true" t="shared" si="9" ref="U23:U91">(N23-T23)/1000</f>
        <v>-0.243</v>
      </c>
      <c r="V23" s="435">
        <f aca="true" t="shared" si="10" ref="V23:V89">U23/T23*1000</f>
        <v>-0.0020442156268927923</v>
      </c>
      <c r="W23" s="610">
        <f aca="true" t="shared" si="11" ref="W23:W91">(D23-P23)/1000</f>
        <v>-2.09</v>
      </c>
      <c r="X23" s="613">
        <f aca="true" t="shared" si="12" ref="X23:X88">W23/P23*1000</f>
        <v>-0.017312933341064783</v>
      </c>
    </row>
    <row r="24" spans="1:24" ht="11.25">
      <c r="A24" s="19">
        <v>550112</v>
      </c>
      <c r="B24" s="209" t="s">
        <v>775</v>
      </c>
      <c r="C24" s="91">
        <v>550112</v>
      </c>
      <c r="D24" s="566">
        <f>VLOOKUP(A24,TB!$A:$E,5,FALSE)</f>
        <v>442512.75</v>
      </c>
      <c r="E24" s="564"/>
      <c r="F24" s="446"/>
      <c r="G24" s="465"/>
      <c r="H24" s="468"/>
      <c r="I24" s="151"/>
      <c r="J24" s="444"/>
      <c r="K24" s="552"/>
      <c r="L24" s="462"/>
      <c r="M24" s="545"/>
      <c r="N24" s="447">
        <f t="shared" si="7"/>
        <v>442512.75</v>
      </c>
      <c r="O24" s="444">
        <f t="shared" si="8"/>
        <v>0</v>
      </c>
      <c r="P24" s="445">
        <v>423604.02</v>
      </c>
      <c r="Q24" s="553"/>
      <c r="R24" s="993"/>
      <c r="S24" s="1000"/>
      <c r="T24" s="1000">
        <v>417289.5</v>
      </c>
      <c r="U24" s="429">
        <f t="shared" si="9"/>
        <v>25.22325</v>
      </c>
      <c r="V24" s="435">
        <f t="shared" si="10"/>
        <v>0.06044544614709931</v>
      </c>
      <c r="W24" s="610">
        <f t="shared" si="11"/>
        <v>18.90872999999998</v>
      </c>
      <c r="X24" s="613">
        <f t="shared" si="12"/>
        <v>0.04463774918849915</v>
      </c>
    </row>
    <row r="25" spans="1:24" ht="11.25">
      <c r="A25" s="19">
        <v>550113</v>
      </c>
      <c r="B25" s="209" t="s">
        <v>832</v>
      </c>
      <c r="C25" s="91" t="s">
        <v>833</v>
      </c>
      <c r="D25" s="566">
        <f>VLOOKUP(A25,TB!$A:$E,5,FALSE)</f>
        <v>48537.65</v>
      </c>
      <c r="E25" s="564"/>
      <c r="F25" s="446"/>
      <c r="G25" s="465"/>
      <c r="H25" s="468"/>
      <c r="I25" s="151"/>
      <c r="J25" s="444"/>
      <c r="K25" s="552"/>
      <c r="L25" s="462"/>
      <c r="M25" s="545"/>
      <c r="N25" s="447">
        <f t="shared" si="7"/>
        <v>48537.65</v>
      </c>
      <c r="O25" s="444"/>
      <c r="P25" s="445">
        <v>51455.2</v>
      </c>
      <c r="Q25" s="553"/>
      <c r="R25" s="993"/>
      <c r="S25" s="1000"/>
      <c r="T25" s="1104">
        <v>0</v>
      </c>
      <c r="U25" s="429"/>
      <c r="V25" s="435"/>
      <c r="W25" s="610"/>
      <c r="X25" s="613"/>
    </row>
    <row r="26" spans="1:24" ht="11.25">
      <c r="A26" s="19">
        <v>550120</v>
      </c>
      <c r="B26" s="238" t="s">
        <v>714</v>
      </c>
      <c r="C26" s="378" t="s">
        <v>139</v>
      </c>
      <c r="D26" s="566">
        <f>VLOOKUP(A26,TB!$A:$E,5,FALSE)</f>
        <v>13065.25</v>
      </c>
      <c r="E26" s="565"/>
      <c r="F26" s="446"/>
      <c r="G26" s="465"/>
      <c r="H26" s="468"/>
      <c r="I26" s="151"/>
      <c r="J26" s="444"/>
      <c r="K26" s="552"/>
      <c r="L26" s="462"/>
      <c r="M26" s="545"/>
      <c r="N26" s="447">
        <f t="shared" si="7"/>
        <v>13065.25</v>
      </c>
      <c r="O26" s="444">
        <f t="shared" si="8"/>
        <v>0</v>
      </c>
      <c r="P26" s="445">
        <v>27184.25</v>
      </c>
      <c r="Q26" s="553"/>
      <c r="R26" s="993"/>
      <c r="S26" s="1000"/>
      <c r="T26" s="1000">
        <v>12505.25</v>
      </c>
      <c r="U26" s="429">
        <f t="shared" si="9"/>
        <v>0.56</v>
      </c>
      <c r="V26" s="435">
        <f t="shared" si="10"/>
        <v>0.04478119189940226</v>
      </c>
      <c r="W26" s="610">
        <f t="shared" si="11"/>
        <v>-14.119</v>
      </c>
      <c r="X26" s="613">
        <f t="shared" si="12"/>
        <v>-0.519381627229002</v>
      </c>
    </row>
    <row r="27" spans="1:24" ht="11.25">
      <c r="A27" s="19">
        <v>550115</v>
      </c>
      <c r="B27" s="238" t="s">
        <v>1108</v>
      </c>
      <c r="C27" s="378" t="s">
        <v>140</v>
      </c>
      <c r="D27" s="566"/>
      <c r="E27" s="565"/>
      <c r="F27" s="446"/>
      <c r="G27" s="465"/>
      <c r="H27" s="468"/>
      <c r="I27" s="151"/>
      <c r="J27" s="444"/>
      <c r="K27" s="552"/>
      <c r="L27" s="462"/>
      <c r="M27" s="545"/>
      <c r="N27" s="447">
        <f t="shared" si="7"/>
        <v>0</v>
      </c>
      <c r="O27" s="444">
        <f t="shared" si="8"/>
        <v>0</v>
      </c>
      <c r="P27" s="445">
        <v>0</v>
      </c>
      <c r="Q27" s="553"/>
      <c r="R27" s="993"/>
      <c r="S27" s="1000"/>
      <c r="T27" s="1000">
        <v>-3304000</v>
      </c>
      <c r="U27" s="429">
        <f t="shared" si="9"/>
        <v>3304</v>
      </c>
      <c r="V27" s="435">
        <f t="shared" si="10"/>
        <v>-1</v>
      </c>
      <c r="W27" s="610">
        <f t="shared" si="11"/>
        <v>0</v>
      </c>
      <c r="X27" s="613">
        <v>1</v>
      </c>
    </row>
    <row r="28" spans="1:24" ht="11.25">
      <c r="A28" s="19">
        <v>550115</v>
      </c>
      <c r="B28" s="238" t="s">
        <v>260</v>
      </c>
      <c r="C28" s="378" t="s">
        <v>140</v>
      </c>
      <c r="D28" s="566">
        <f>VLOOKUP(A28,TB!$A:$E,5,FALSE)</f>
        <v>917982.19</v>
      </c>
      <c r="E28" s="565"/>
      <c r="F28" s="446"/>
      <c r="G28" s="465"/>
      <c r="H28" s="468"/>
      <c r="I28" s="151"/>
      <c r="J28" s="444"/>
      <c r="K28" s="552"/>
      <c r="L28" s="462"/>
      <c r="M28" s="545"/>
      <c r="N28" s="447">
        <f t="shared" si="7"/>
        <v>917982.19</v>
      </c>
      <c r="O28" s="444"/>
      <c r="P28" s="445">
        <v>0</v>
      </c>
      <c r="Q28" s="553"/>
      <c r="R28" s="993"/>
      <c r="S28" s="1000"/>
      <c r="T28" s="1000">
        <v>0</v>
      </c>
      <c r="U28" s="429">
        <f t="shared" si="9"/>
        <v>917.98219</v>
      </c>
      <c r="V28" s="435" t="e">
        <f t="shared" si="10"/>
        <v>#DIV/0!</v>
      </c>
      <c r="W28" s="610"/>
      <c r="X28" s="613"/>
    </row>
    <row r="29" spans="1:24" ht="11.25">
      <c r="A29" s="19">
        <v>550130</v>
      </c>
      <c r="B29" s="238" t="s">
        <v>715</v>
      </c>
      <c r="C29" s="378">
        <v>550130</v>
      </c>
      <c r="D29" s="566">
        <f>VLOOKUP(A29,TB!$A:$E,5,FALSE)</f>
        <v>924549.56</v>
      </c>
      <c r="E29" s="565"/>
      <c r="F29" s="446"/>
      <c r="G29" s="465"/>
      <c r="H29" s="468"/>
      <c r="I29" s="151"/>
      <c r="J29" s="444"/>
      <c r="K29" s="552"/>
      <c r="L29" s="462"/>
      <c r="M29" s="545"/>
      <c r="N29" s="447">
        <f t="shared" si="7"/>
        <v>924549.56</v>
      </c>
      <c r="O29" s="444">
        <f t="shared" si="8"/>
        <v>0</v>
      </c>
      <c r="P29" s="445">
        <v>786767.74</v>
      </c>
      <c r="Q29" s="553"/>
      <c r="R29" s="993"/>
      <c r="S29" s="1000"/>
      <c r="T29" s="1000">
        <v>1515434.88</v>
      </c>
      <c r="U29" s="429">
        <f t="shared" si="9"/>
        <v>-590.8853199999999</v>
      </c>
      <c r="V29" s="435">
        <f t="shared" si="10"/>
        <v>-0.38991138965997657</v>
      </c>
      <c r="W29" s="610">
        <f t="shared" si="11"/>
        <v>137.78182000000007</v>
      </c>
      <c r="X29" s="613">
        <f t="shared" si="12"/>
        <v>0.17512388090543732</v>
      </c>
    </row>
    <row r="30" spans="1:24" ht="11.25">
      <c r="A30" s="19">
        <v>550140</v>
      </c>
      <c r="B30" s="238" t="s">
        <v>716</v>
      </c>
      <c r="C30" s="378"/>
      <c r="D30" s="566">
        <f>VLOOKUP(A30,TB!$A:$E,5,FALSE)</f>
        <v>0</v>
      </c>
      <c r="E30" s="565"/>
      <c r="F30" s="446"/>
      <c r="G30" s="465"/>
      <c r="H30" s="468"/>
      <c r="I30" s="151"/>
      <c r="J30" s="444"/>
      <c r="K30" s="552"/>
      <c r="L30" s="462"/>
      <c r="M30" s="545"/>
      <c r="N30" s="447">
        <f t="shared" si="7"/>
        <v>0</v>
      </c>
      <c r="O30" s="444">
        <f t="shared" si="8"/>
        <v>0</v>
      </c>
      <c r="P30" s="445">
        <v>0</v>
      </c>
      <c r="Q30" s="553"/>
      <c r="R30" s="993"/>
      <c r="S30" s="1000"/>
      <c r="T30" s="1000">
        <v>1552.3499999999767</v>
      </c>
      <c r="U30" s="429">
        <f>(N30-T30)/1000</f>
        <v>-1.5523499999999768</v>
      </c>
      <c r="V30" s="1054"/>
      <c r="W30" s="610">
        <f t="shared" si="11"/>
        <v>0</v>
      </c>
      <c r="X30" s="613"/>
    </row>
    <row r="31" spans="1:24" ht="11.25">
      <c r="A31" s="19">
        <v>550150</v>
      </c>
      <c r="B31" s="238" t="s">
        <v>776</v>
      </c>
      <c r="C31" s="378">
        <v>550150</v>
      </c>
      <c r="D31" s="566">
        <f>VLOOKUP(A31,TB!$A:$E,5,FALSE)</f>
        <v>10143</v>
      </c>
      <c r="E31" s="565"/>
      <c r="F31" s="446"/>
      <c r="G31" s="465"/>
      <c r="H31" s="468"/>
      <c r="I31" s="151"/>
      <c r="J31" s="444"/>
      <c r="K31" s="552"/>
      <c r="L31" s="462"/>
      <c r="M31" s="545"/>
      <c r="N31" s="447">
        <f t="shared" si="7"/>
        <v>10143</v>
      </c>
      <c r="O31" s="444">
        <f t="shared" si="8"/>
        <v>0</v>
      </c>
      <c r="P31" s="445">
        <v>532</v>
      </c>
      <c r="Q31" s="553"/>
      <c r="R31" s="993"/>
      <c r="S31" s="1000"/>
      <c r="T31" s="1000">
        <v>3061</v>
      </c>
      <c r="U31" s="429">
        <f t="shared" si="9"/>
        <v>7.082</v>
      </c>
      <c r="V31" s="435">
        <f t="shared" si="10"/>
        <v>2.313622999019928</v>
      </c>
      <c r="W31" s="610">
        <f t="shared" si="11"/>
        <v>9.611</v>
      </c>
      <c r="X31" s="613">
        <f t="shared" si="12"/>
        <v>18.065789473684212</v>
      </c>
    </row>
    <row r="32" spans="1:24" ht="11.25">
      <c r="A32" s="19">
        <v>550160</v>
      </c>
      <c r="B32" s="209" t="s">
        <v>777</v>
      </c>
      <c r="C32" s="378">
        <v>550160</v>
      </c>
      <c r="D32" s="566">
        <f>VLOOKUP(A32,TB!$A:$E,5,FALSE)</f>
        <v>502629.45999999996</v>
      </c>
      <c r="E32" s="564"/>
      <c r="F32" s="446"/>
      <c r="G32" s="465"/>
      <c r="H32" s="468"/>
      <c r="I32" s="151"/>
      <c r="J32" s="444"/>
      <c r="K32" s="552"/>
      <c r="L32" s="462"/>
      <c r="M32" s="545"/>
      <c r="N32" s="447">
        <f t="shared" si="7"/>
        <v>502629.45999999996</v>
      </c>
      <c r="O32" s="444">
        <f t="shared" si="8"/>
        <v>0</v>
      </c>
      <c r="P32" s="445">
        <v>475882.74</v>
      </c>
      <c r="Q32" s="553"/>
      <c r="R32" s="993"/>
      <c r="S32" s="1000"/>
      <c r="T32" s="1000">
        <v>224222.35</v>
      </c>
      <c r="U32" s="429">
        <f t="shared" si="9"/>
        <v>278.40711</v>
      </c>
      <c r="V32" s="435">
        <f t="shared" si="10"/>
        <v>1.2416563736844253</v>
      </c>
      <c r="W32" s="610">
        <f t="shared" si="11"/>
        <v>26.74671999999997</v>
      </c>
      <c r="X32" s="613">
        <f t="shared" si="12"/>
        <v>0.056204433890584</v>
      </c>
    </row>
    <row r="33" spans="1:24" ht="11.25">
      <c r="A33" s="19">
        <v>550170</v>
      </c>
      <c r="B33" s="209" t="s">
        <v>778</v>
      </c>
      <c r="C33" s="91">
        <v>550170</v>
      </c>
      <c r="D33" s="566">
        <f>VLOOKUP(A33,TB!$A:$E,5,FALSE)</f>
        <v>602288.64</v>
      </c>
      <c r="E33" s="564"/>
      <c r="F33" s="446"/>
      <c r="G33" s="465"/>
      <c r="H33" s="468"/>
      <c r="I33" s="151"/>
      <c r="J33" s="444"/>
      <c r="K33" s="552"/>
      <c r="L33" s="462"/>
      <c r="M33" s="545"/>
      <c r="N33" s="447">
        <f t="shared" si="7"/>
        <v>602288.64</v>
      </c>
      <c r="O33" s="444">
        <f t="shared" si="8"/>
        <v>0</v>
      </c>
      <c r="P33" s="445">
        <v>707029.85</v>
      </c>
      <c r="Q33" s="553"/>
      <c r="R33" s="993"/>
      <c r="S33" s="1000"/>
      <c r="T33" s="1000">
        <v>563499.66</v>
      </c>
      <c r="U33" s="429">
        <f t="shared" si="9"/>
        <v>38.78897999999998</v>
      </c>
      <c r="V33" s="435">
        <f t="shared" si="10"/>
        <v>0.06883585342358499</v>
      </c>
      <c r="W33" s="610">
        <f t="shared" si="11"/>
        <v>-104.74120999999997</v>
      </c>
      <c r="X33" s="613">
        <f t="shared" si="12"/>
        <v>-0.14814255720603586</v>
      </c>
    </row>
    <row r="34" spans="1:24" ht="11.25">
      <c r="A34" s="19">
        <v>550180</v>
      </c>
      <c r="B34" s="209" t="s">
        <v>779</v>
      </c>
      <c r="C34" s="91">
        <v>550180</v>
      </c>
      <c r="D34" s="566">
        <f>VLOOKUP(A34,TB!$A:$E,5,FALSE)</f>
        <v>371979.26999999996</v>
      </c>
      <c r="E34" s="564"/>
      <c r="F34" s="446"/>
      <c r="G34" s="465"/>
      <c r="H34" s="468"/>
      <c r="I34" s="151"/>
      <c r="J34" s="444"/>
      <c r="K34" s="552"/>
      <c r="L34" s="462"/>
      <c r="M34" s="545"/>
      <c r="N34" s="447">
        <f t="shared" si="7"/>
        <v>371979.26999999996</v>
      </c>
      <c r="O34" s="444">
        <f t="shared" si="8"/>
        <v>0</v>
      </c>
      <c r="P34" s="445">
        <v>74660.85</v>
      </c>
      <c r="Q34" s="553"/>
      <c r="R34" s="993"/>
      <c r="S34" s="1000"/>
      <c r="T34" s="1000">
        <v>262043.12</v>
      </c>
      <c r="U34" s="429">
        <f t="shared" si="9"/>
        <v>109.93614999999997</v>
      </c>
      <c r="V34" s="435">
        <f t="shared" si="10"/>
        <v>0.4195345788891537</v>
      </c>
      <c r="W34" s="610">
        <f t="shared" si="11"/>
        <v>297.31841999999995</v>
      </c>
      <c r="X34" s="613">
        <f t="shared" si="12"/>
        <v>3.982253349647103</v>
      </c>
    </row>
    <row r="35" spans="1:24" ht="11.25">
      <c r="A35" s="19">
        <v>550182</v>
      </c>
      <c r="B35" s="209" t="s">
        <v>780</v>
      </c>
      <c r="C35" s="91"/>
      <c r="D35" s="566">
        <f>VLOOKUP(A35,TB!$A:$E,5,FALSE)</f>
        <v>0</v>
      </c>
      <c r="E35" s="564"/>
      <c r="F35" s="446"/>
      <c r="G35" s="465"/>
      <c r="H35" s="468"/>
      <c r="I35" s="151"/>
      <c r="J35" s="444"/>
      <c r="K35" s="552"/>
      <c r="L35" s="462"/>
      <c r="M35" s="545"/>
      <c r="N35" s="447">
        <f t="shared" si="7"/>
        <v>0</v>
      </c>
      <c r="O35" s="444">
        <f t="shared" si="8"/>
        <v>0</v>
      </c>
      <c r="P35" s="445">
        <v>0</v>
      </c>
      <c r="Q35" s="553"/>
      <c r="R35" s="993"/>
      <c r="S35" s="1000"/>
      <c r="T35" s="1000">
        <f>VLOOKUP(A35,'[1]6300'!$A$8:$O$134,15,FALSE)</f>
        <v>0</v>
      </c>
      <c r="U35" s="429">
        <f t="shared" si="9"/>
        <v>0</v>
      </c>
      <c r="V35" s="435"/>
      <c r="W35" s="610">
        <f t="shared" si="11"/>
        <v>0</v>
      </c>
      <c r="X35" s="613"/>
    </row>
    <row r="36" spans="1:24" ht="11.25">
      <c r="A36" s="19">
        <v>550260</v>
      </c>
      <c r="B36" s="209" t="s">
        <v>746</v>
      </c>
      <c r="C36" s="91">
        <v>550260</v>
      </c>
      <c r="D36" s="566">
        <f>VLOOKUP(A36,TB!$A:$E,5,FALSE)</f>
        <v>84967.54999999999</v>
      </c>
      <c r="E36" s="564"/>
      <c r="F36" s="446"/>
      <c r="G36" s="465"/>
      <c r="H36" s="468"/>
      <c r="I36" s="151"/>
      <c r="J36" s="444"/>
      <c r="K36" s="552"/>
      <c r="L36" s="462"/>
      <c r="M36" s="545"/>
      <c r="N36" s="447">
        <f t="shared" si="7"/>
        <v>84967.54999999999</v>
      </c>
      <c r="O36" s="444">
        <f t="shared" si="8"/>
        <v>0</v>
      </c>
      <c r="P36" s="445">
        <v>119943.29</v>
      </c>
      <c r="Q36" s="553"/>
      <c r="R36" s="993"/>
      <c r="S36" s="1000"/>
      <c r="T36" s="1000">
        <v>112302.75</v>
      </c>
      <c r="U36" s="429">
        <f t="shared" si="9"/>
        <v>-27.33520000000001</v>
      </c>
      <c r="V36" s="435">
        <f t="shared" si="10"/>
        <v>-0.2434063279839542</v>
      </c>
      <c r="W36" s="610">
        <f t="shared" si="11"/>
        <v>-34.97574</v>
      </c>
      <c r="X36" s="613">
        <f t="shared" si="12"/>
        <v>-0.2916023063899615</v>
      </c>
    </row>
    <row r="37" spans="1:24" ht="11.25">
      <c r="A37" s="19">
        <v>550270</v>
      </c>
      <c r="B37" s="209" t="s">
        <v>781</v>
      </c>
      <c r="C37" s="91">
        <v>550270</v>
      </c>
      <c r="D37" s="566">
        <f>VLOOKUP(A37,TB!$A:$E,5,FALSE)</f>
        <v>117930.44</v>
      </c>
      <c r="E37" s="564"/>
      <c r="F37" s="446"/>
      <c r="G37" s="465"/>
      <c r="H37" s="468"/>
      <c r="I37" s="151"/>
      <c r="J37" s="444"/>
      <c r="K37" s="552"/>
      <c r="L37" s="462"/>
      <c r="M37" s="545"/>
      <c r="N37" s="447">
        <f t="shared" si="7"/>
        <v>117930.44</v>
      </c>
      <c r="O37" s="444">
        <f t="shared" si="8"/>
        <v>0</v>
      </c>
      <c r="P37" s="445">
        <v>89622.67</v>
      </c>
      <c r="Q37" s="553"/>
      <c r="R37" s="993"/>
      <c r="S37" s="1000"/>
      <c r="T37" s="1000">
        <v>123654.86</v>
      </c>
      <c r="U37" s="429">
        <f t="shared" si="9"/>
        <v>-5.7244199999999985</v>
      </c>
      <c r="V37" s="435">
        <f t="shared" si="10"/>
        <v>-0.04629353023407247</v>
      </c>
      <c r="W37" s="610">
        <f t="shared" si="11"/>
        <v>28.307770000000005</v>
      </c>
      <c r="X37" s="613">
        <f t="shared" si="12"/>
        <v>0.31585501748608924</v>
      </c>
    </row>
    <row r="38" spans="1:24" ht="11.25">
      <c r="A38" s="19">
        <v>550280</v>
      </c>
      <c r="B38" s="209" t="s">
        <v>782</v>
      </c>
      <c r="C38" s="91">
        <v>550280</v>
      </c>
      <c r="D38" s="566">
        <f>VLOOKUP(A38,TB!$A:$E,5,FALSE)</f>
        <v>0</v>
      </c>
      <c r="E38" s="564"/>
      <c r="F38" s="446"/>
      <c r="G38" s="465"/>
      <c r="H38" s="468"/>
      <c r="I38" s="151"/>
      <c r="J38" s="444"/>
      <c r="K38" s="552"/>
      <c r="L38" s="462"/>
      <c r="M38" s="545"/>
      <c r="N38" s="447">
        <f t="shared" si="7"/>
        <v>0</v>
      </c>
      <c r="O38" s="444">
        <f t="shared" si="8"/>
        <v>0</v>
      </c>
      <c r="P38" s="445">
        <v>0</v>
      </c>
      <c r="Q38" s="553"/>
      <c r="R38" s="993"/>
      <c r="S38" s="1000"/>
      <c r="T38" s="1000">
        <v>72400</v>
      </c>
      <c r="U38" s="429">
        <f t="shared" si="9"/>
        <v>-72.4</v>
      </c>
      <c r="V38" s="435">
        <f t="shared" si="10"/>
        <v>-1</v>
      </c>
      <c r="W38" s="610">
        <f t="shared" si="11"/>
        <v>0</v>
      </c>
      <c r="X38" s="613" t="e">
        <f t="shared" si="12"/>
        <v>#DIV/0!</v>
      </c>
    </row>
    <row r="39" spans="1:24" ht="11.25">
      <c r="A39" s="19">
        <v>550300</v>
      </c>
      <c r="B39" s="209" t="s">
        <v>783</v>
      </c>
      <c r="C39" s="91">
        <v>550300</v>
      </c>
      <c r="D39" s="566">
        <f>VLOOKUP(A39,TB!$A:$E,5,FALSE)</f>
        <v>856737</v>
      </c>
      <c r="E39" s="564"/>
      <c r="F39" s="446"/>
      <c r="G39" s="465"/>
      <c r="H39" s="468"/>
      <c r="I39" s="151"/>
      <c r="J39" s="444"/>
      <c r="K39" s="552"/>
      <c r="L39" s="462"/>
      <c r="M39" s="545"/>
      <c r="N39" s="447">
        <f t="shared" si="7"/>
        <v>856737</v>
      </c>
      <c r="O39" s="444">
        <f t="shared" si="8"/>
        <v>0</v>
      </c>
      <c r="P39" s="445">
        <v>745096.36</v>
      </c>
      <c r="Q39" s="553"/>
      <c r="R39" s="993"/>
      <c r="S39" s="1000"/>
      <c r="T39" s="1000">
        <v>829099.8</v>
      </c>
      <c r="U39" s="429">
        <f t="shared" si="9"/>
        <v>27.637199999999954</v>
      </c>
      <c r="V39" s="435">
        <f t="shared" si="10"/>
        <v>0.03333398464213832</v>
      </c>
      <c r="W39" s="610">
        <f t="shared" si="11"/>
        <v>111.64064000000002</v>
      </c>
      <c r="X39" s="613">
        <f t="shared" si="12"/>
        <v>0.14983382820444863</v>
      </c>
    </row>
    <row r="40" spans="1:24" ht="11.25">
      <c r="A40" s="19">
        <v>550310</v>
      </c>
      <c r="B40" s="209" t="s">
        <v>886</v>
      </c>
      <c r="C40" s="91">
        <v>550310</v>
      </c>
      <c r="D40" s="566">
        <f>VLOOKUP(A40,TB!$A:$E,5,FALSE)</f>
        <v>88044.94</v>
      </c>
      <c r="E40" s="564"/>
      <c r="F40" s="446"/>
      <c r="G40" s="465"/>
      <c r="H40" s="468"/>
      <c r="I40" s="151"/>
      <c r="J40" s="444"/>
      <c r="K40" s="552"/>
      <c r="L40" s="462"/>
      <c r="M40" s="545"/>
      <c r="N40" s="447">
        <f t="shared" si="7"/>
        <v>88044.94</v>
      </c>
      <c r="O40" s="444">
        <f t="shared" si="8"/>
        <v>0</v>
      </c>
      <c r="P40" s="445">
        <v>146854.96</v>
      </c>
      <c r="Q40" s="553"/>
      <c r="R40" s="993"/>
      <c r="S40" s="1000"/>
      <c r="T40" s="1000">
        <v>102743.16</v>
      </c>
      <c r="U40" s="429">
        <f t="shared" si="9"/>
        <v>-14.698220000000001</v>
      </c>
      <c r="V40" s="435">
        <f t="shared" si="10"/>
        <v>-0.14305789309964773</v>
      </c>
      <c r="W40" s="610">
        <f t="shared" si="11"/>
        <v>-58.81001999999999</v>
      </c>
      <c r="X40" s="613">
        <f t="shared" si="12"/>
        <v>-0.400463287041854</v>
      </c>
    </row>
    <row r="41" spans="1:24" ht="11.25">
      <c r="A41" s="19">
        <v>550320</v>
      </c>
      <c r="B41" s="209" t="s">
        <v>784</v>
      </c>
      <c r="C41" s="91">
        <v>550320</v>
      </c>
      <c r="D41" s="566">
        <f>VLOOKUP(A41,TB!$A:$E,5,FALSE)</f>
        <v>0</v>
      </c>
      <c r="E41" s="564"/>
      <c r="F41" s="446"/>
      <c r="G41" s="465"/>
      <c r="H41" s="468"/>
      <c r="I41" s="151"/>
      <c r="J41" s="444"/>
      <c r="K41" s="552"/>
      <c r="L41" s="462"/>
      <c r="M41" s="545"/>
      <c r="N41" s="447">
        <f t="shared" si="7"/>
        <v>0</v>
      </c>
      <c r="O41" s="444">
        <f t="shared" si="8"/>
        <v>0</v>
      </c>
      <c r="P41" s="445">
        <v>0</v>
      </c>
      <c r="Q41" s="553"/>
      <c r="R41" s="993"/>
      <c r="S41" s="1000"/>
      <c r="T41" s="1000">
        <v>0</v>
      </c>
      <c r="U41" s="429">
        <f t="shared" si="9"/>
        <v>0</v>
      </c>
      <c r="V41" s="435"/>
      <c r="W41" s="610">
        <f t="shared" si="11"/>
        <v>0</v>
      </c>
      <c r="X41" s="613"/>
    </row>
    <row r="42" spans="1:24" ht="11.25">
      <c r="A42" s="19">
        <v>550330</v>
      </c>
      <c r="B42" s="209" t="s">
        <v>785</v>
      </c>
      <c r="C42" s="91">
        <v>550330</v>
      </c>
      <c r="D42" s="566">
        <f>VLOOKUP(A42,TB!$A:$E,5,FALSE)</f>
        <v>564337.7</v>
      </c>
      <c r="E42" s="564"/>
      <c r="F42" s="446"/>
      <c r="G42" s="465"/>
      <c r="H42" s="468"/>
      <c r="I42" s="151"/>
      <c r="J42" s="444"/>
      <c r="K42" s="552"/>
      <c r="L42" s="462"/>
      <c r="M42" s="545"/>
      <c r="N42" s="447">
        <f t="shared" si="7"/>
        <v>564337.7</v>
      </c>
      <c r="O42" s="444">
        <f t="shared" si="8"/>
        <v>0</v>
      </c>
      <c r="P42" s="445">
        <v>542100.4</v>
      </c>
      <c r="Q42" s="553"/>
      <c r="R42" s="993"/>
      <c r="S42" s="1000"/>
      <c r="T42" s="1000">
        <v>410900</v>
      </c>
      <c r="U42" s="429">
        <f t="shared" si="9"/>
        <v>153.43769999999995</v>
      </c>
      <c r="V42" s="435">
        <f t="shared" si="10"/>
        <v>0.37341859333171074</v>
      </c>
      <c r="W42" s="610">
        <f t="shared" si="11"/>
        <v>22.23729999999993</v>
      </c>
      <c r="X42" s="613">
        <f t="shared" si="12"/>
        <v>0.041020630126817705</v>
      </c>
    </row>
    <row r="43" spans="1:24" ht="11.25">
      <c r="A43" s="19">
        <v>550331</v>
      </c>
      <c r="B43" s="209" t="s">
        <v>786</v>
      </c>
      <c r="C43" s="91"/>
      <c r="D43" s="566">
        <f>VLOOKUP(A43,TB!$A:$E,5,FALSE)</f>
        <v>0</v>
      </c>
      <c r="E43" s="564"/>
      <c r="F43" s="446"/>
      <c r="G43" s="465"/>
      <c r="H43" s="468"/>
      <c r="I43" s="151"/>
      <c r="J43" s="444"/>
      <c r="K43" s="552"/>
      <c r="L43" s="462"/>
      <c r="M43" s="545"/>
      <c r="N43" s="447">
        <f t="shared" si="7"/>
        <v>0</v>
      </c>
      <c r="O43" s="444">
        <f t="shared" si="8"/>
        <v>0</v>
      </c>
      <c r="P43" s="445">
        <v>0</v>
      </c>
      <c r="Q43" s="553"/>
      <c r="R43" s="993"/>
      <c r="S43" s="1000"/>
      <c r="T43" s="1000">
        <f>VLOOKUP(A43,'[1]6300'!$A$8:$O$134,15,FALSE)</f>
        <v>0</v>
      </c>
      <c r="U43" s="429">
        <f t="shared" si="9"/>
        <v>0</v>
      </c>
      <c r="V43" s="435"/>
      <c r="W43" s="610">
        <f t="shared" si="11"/>
        <v>0</v>
      </c>
      <c r="X43" s="613"/>
    </row>
    <row r="44" spans="1:24" ht="11.25">
      <c r="A44" s="19">
        <v>550340</v>
      </c>
      <c r="B44" s="209" t="s">
        <v>787</v>
      </c>
      <c r="C44" s="91">
        <v>550340</v>
      </c>
      <c r="D44" s="566">
        <f>VLOOKUP(A44,TB!$A:$E,5,FALSE)</f>
        <v>657561.58</v>
      </c>
      <c r="E44" s="564"/>
      <c r="F44" s="446"/>
      <c r="G44" s="465"/>
      <c r="H44" s="468"/>
      <c r="I44" s="151"/>
      <c r="J44" s="444"/>
      <c r="K44" s="552"/>
      <c r="L44" s="462"/>
      <c r="M44" s="545"/>
      <c r="N44" s="447">
        <f t="shared" si="7"/>
        <v>657561.58</v>
      </c>
      <c r="O44" s="444">
        <f t="shared" si="8"/>
        <v>0</v>
      </c>
      <c r="P44" s="445">
        <v>537153.11</v>
      </c>
      <c r="Q44" s="553"/>
      <c r="R44" s="993"/>
      <c r="S44" s="1000"/>
      <c r="T44" s="1000">
        <v>732901.12</v>
      </c>
      <c r="U44" s="429">
        <f t="shared" si="9"/>
        <v>-75.33954000000004</v>
      </c>
      <c r="V44" s="435">
        <f t="shared" si="10"/>
        <v>-0.10279632264718061</v>
      </c>
      <c r="W44" s="610">
        <f t="shared" si="11"/>
        <v>120.40846999999997</v>
      </c>
      <c r="X44" s="613">
        <f t="shared" si="12"/>
        <v>0.2241604260654843</v>
      </c>
    </row>
    <row r="45" spans="1:24" ht="11.25">
      <c r="A45" s="19">
        <v>550341</v>
      </c>
      <c r="B45" s="209" t="s">
        <v>788</v>
      </c>
      <c r="C45" s="91">
        <v>550341</v>
      </c>
      <c r="D45" s="566">
        <f>VLOOKUP(A45,TB!$A:$E,5,FALSE)</f>
        <v>521743.69</v>
      </c>
      <c r="E45" s="564"/>
      <c r="F45" s="446"/>
      <c r="G45" s="465"/>
      <c r="H45" s="468"/>
      <c r="I45" s="151"/>
      <c r="J45" s="444"/>
      <c r="K45" s="552"/>
      <c r="L45" s="462"/>
      <c r="M45" s="545"/>
      <c r="N45" s="447">
        <f t="shared" si="7"/>
        <v>521743.69</v>
      </c>
      <c r="O45" s="444">
        <f t="shared" si="8"/>
        <v>0</v>
      </c>
      <c r="P45" s="445">
        <v>528320.23</v>
      </c>
      <c r="Q45" s="553"/>
      <c r="R45" s="993"/>
      <c r="S45" s="1000"/>
      <c r="T45" s="1000">
        <v>529608.06</v>
      </c>
      <c r="U45" s="429">
        <f t="shared" si="9"/>
        <v>-7.864370000000053</v>
      </c>
      <c r="V45" s="435">
        <f t="shared" si="10"/>
        <v>-0.014849415244926696</v>
      </c>
      <c r="W45" s="610">
        <f t="shared" si="11"/>
        <v>-6.576539999999979</v>
      </c>
      <c r="X45" s="613">
        <f t="shared" si="12"/>
        <v>-0.012448018505745992</v>
      </c>
    </row>
    <row r="46" spans="1:24" ht="11.25">
      <c r="A46" s="19">
        <v>550350</v>
      </c>
      <c r="B46" s="209" t="s">
        <v>789</v>
      </c>
      <c r="C46" s="91">
        <v>550350</v>
      </c>
      <c r="D46" s="566">
        <f>VLOOKUP(A46,TB!$A:$E,5,FALSE)</f>
        <v>507276.92</v>
      </c>
      <c r="E46" s="564"/>
      <c r="F46" s="446"/>
      <c r="G46" s="465"/>
      <c r="H46" s="468"/>
      <c r="I46" s="151"/>
      <c r="J46" s="444"/>
      <c r="K46" s="552"/>
      <c r="L46" s="462"/>
      <c r="M46" s="545"/>
      <c r="N46" s="447">
        <f t="shared" si="7"/>
        <v>507276.92</v>
      </c>
      <c r="O46" s="444">
        <f t="shared" si="8"/>
        <v>0</v>
      </c>
      <c r="P46" s="445">
        <v>487177.96</v>
      </c>
      <c r="Q46" s="553"/>
      <c r="R46" s="993"/>
      <c r="S46" s="1000"/>
      <c r="T46" s="1000">
        <v>551281.91</v>
      </c>
      <c r="U46" s="429">
        <f t="shared" si="9"/>
        <v>-44.00499000000005</v>
      </c>
      <c r="V46" s="435">
        <f t="shared" si="10"/>
        <v>-0.0798230255732499</v>
      </c>
      <c r="W46" s="610">
        <f t="shared" si="11"/>
        <v>20.098959999999963</v>
      </c>
      <c r="X46" s="613">
        <f t="shared" si="12"/>
        <v>0.04125588932635615</v>
      </c>
    </row>
    <row r="47" spans="1:24" s="120" customFormat="1" ht="11.25">
      <c r="A47" s="221">
        <v>550360</v>
      </c>
      <c r="B47" s="238" t="s">
        <v>790</v>
      </c>
      <c r="C47" s="91">
        <v>550360</v>
      </c>
      <c r="D47" s="566">
        <f>VLOOKUP(A47,TB!$A:$E,5,FALSE)</f>
        <v>22690</v>
      </c>
      <c r="E47" s="565"/>
      <c r="F47" s="446"/>
      <c r="G47" s="465"/>
      <c r="H47" s="465"/>
      <c r="I47" s="151"/>
      <c r="J47" s="444"/>
      <c r="K47" s="552"/>
      <c r="L47" s="462"/>
      <c r="M47" s="545"/>
      <c r="N47" s="447">
        <f t="shared" si="7"/>
        <v>22690</v>
      </c>
      <c r="O47" s="444">
        <f t="shared" si="8"/>
        <v>0</v>
      </c>
      <c r="P47" s="445">
        <v>30500</v>
      </c>
      <c r="Q47" s="553"/>
      <c r="R47" s="993"/>
      <c r="S47" s="1000"/>
      <c r="T47" s="1000">
        <v>19999</v>
      </c>
      <c r="U47" s="429">
        <f t="shared" si="9"/>
        <v>2.691</v>
      </c>
      <c r="V47" s="435">
        <f t="shared" si="10"/>
        <v>0.1345567278363918</v>
      </c>
      <c r="W47" s="610">
        <f t="shared" si="11"/>
        <v>-7.81</v>
      </c>
      <c r="X47" s="613">
        <f t="shared" si="12"/>
        <v>-0.2560655737704918</v>
      </c>
    </row>
    <row r="48" spans="1:24" s="120" customFormat="1" ht="11.25">
      <c r="A48" s="221">
        <v>550370</v>
      </c>
      <c r="B48" s="238" t="s">
        <v>721</v>
      </c>
      <c r="C48" s="91">
        <v>550370</v>
      </c>
      <c r="D48" s="566">
        <f>VLOOKUP(A48,TB!$A:$E,5,FALSE)</f>
        <v>0</v>
      </c>
      <c r="E48" s="565"/>
      <c r="F48" s="446"/>
      <c r="G48" s="465"/>
      <c r="H48" s="465"/>
      <c r="I48" s="151"/>
      <c r="J48" s="444"/>
      <c r="K48" s="552"/>
      <c r="L48" s="462"/>
      <c r="M48" s="545"/>
      <c r="N48" s="447">
        <f t="shared" si="7"/>
        <v>0</v>
      </c>
      <c r="O48" s="444">
        <f t="shared" si="8"/>
        <v>0</v>
      </c>
      <c r="P48" s="445">
        <v>0</v>
      </c>
      <c r="Q48" s="553"/>
      <c r="R48" s="993"/>
      <c r="S48" s="1000"/>
      <c r="T48" s="1000">
        <v>528223.68</v>
      </c>
      <c r="U48" s="429">
        <f t="shared" si="9"/>
        <v>-528.2236800000001</v>
      </c>
      <c r="V48" s="435">
        <f t="shared" si="10"/>
        <v>-1</v>
      </c>
      <c r="W48" s="610">
        <f t="shared" si="11"/>
        <v>0</v>
      </c>
      <c r="X48" s="613" t="e">
        <f t="shared" si="12"/>
        <v>#DIV/0!</v>
      </c>
    </row>
    <row r="49" spans="1:24" s="120" customFormat="1" ht="11.25">
      <c r="A49" s="221">
        <v>550371</v>
      </c>
      <c r="B49" s="238" t="s">
        <v>834</v>
      </c>
      <c r="C49" s="91"/>
      <c r="D49" s="566">
        <f>VLOOKUP(A49,TB!$A:$E,5,FALSE)</f>
        <v>286105.26</v>
      </c>
      <c r="E49" s="565"/>
      <c r="F49" s="446"/>
      <c r="G49" s="465"/>
      <c r="H49" s="465"/>
      <c r="I49" s="151"/>
      <c r="J49" s="444"/>
      <c r="K49" s="552"/>
      <c r="L49" s="462"/>
      <c r="M49" s="545"/>
      <c r="N49" s="447">
        <f t="shared" si="7"/>
        <v>286105.26</v>
      </c>
      <c r="O49" s="444"/>
      <c r="P49" s="445">
        <v>289065.79</v>
      </c>
      <c r="Q49" s="553"/>
      <c r="R49" s="993"/>
      <c r="S49" s="1000"/>
      <c r="T49" s="1000">
        <v>0</v>
      </c>
      <c r="U49" s="429"/>
      <c r="V49" s="435"/>
      <c r="W49" s="610"/>
      <c r="X49" s="613"/>
    </row>
    <row r="50" spans="1:24" s="120" customFormat="1" ht="11.25">
      <c r="A50" s="221">
        <v>550373</v>
      </c>
      <c r="B50" s="238" t="s">
        <v>835</v>
      </c>
      <c r="C50" s="91"/>
      <c r="D50" s="566">
        <f>VLOOKUP(A50,TB!$A:$E,5,FALSE)</f>
        <v>135000</v>
      </c>
      <c r="E50" s="565"/>
      <c r="F50" s="446"/>
      <c r="G50" s="465"/>
      <c r="H50" s="465"/>
      <c r="I50" s="151"/>
      <c r="J50" s="444"/>
      <c r="K50" s="552"/>
      <c r="L50" s="462"/>
      <c r="M50" s="545"/>
      <c r="N50" s="447">
        <f t="shared" si="7"/>
        <v>135000</v>
      </c>
      <c r="O50" s="444"/>
      <c r="P50" s="445">
        <v>135000</v>
      </c>
      <c r="Q50" s="553"/>
      <c r="R50" s="993"/>
      <c r="S50" s="1000"/>
      <c r="T50" s="1000">
        <v>0</v>
      </c>
      <c r="U50" s="429"/>
      <c r="V50" s="435"/>
      <c r="W50" s="610"/>
      <c r="X50" s="613"/>
    </row>
    <row r="51" spans="1:24" s="120" customFormat="1" ht="11.25">
      <c r="A51" s="221">
        <v>550374</v>
      </c>
      <c r="B51" s="238" t="s">
        <v>836</v>
      </c>
      <c r="C51" s="91"/>
      <c r="D51" s="566">
        <f>VLOOKUP(A51,TB!$A:$E,5,FALSE)</f>
        <v>90000</v>
      </c>
      <c r="E51" s="565"/>
      <c r="F51" s="446"/>
      <c r="G51" s="465"/>
      <c r="H51" s="465"/>
      <c r="I51" s="151"/>
      <c r="J51" s="444"/>
      <c r="K51" s="552"/>
      <c r="L51" s="462"/>
      <c r="M51" s="545"/>
      <c r="N51" s="447">
        <f t="shared" si="7"/>
        <v>90000</v>
      </c>
      <c r="O51" s="444"/>
      <c r="P51" s="445">
        <v>90000</v>
      </c>
      <c r="Q51" s="553"/>
      <c r="R51" s="993"/>
      <c r="S51" s="1000"/>
      <c r="T51" s="1000">
        <v>0</v>
      </c>
      <c r="U51" s="429"/>
      <c r="V51" s="435"/>
      <c r="W51" s="610"/>
      <c r="X51" s="613"/>
    </row>
    <row r="52" spans="1:24" s="120" customFormat="1" ht="11.25">
      <c r="A52" s="221">
        <v>550378</v>
      </c>
      <c r="B52" s="238" t="s">
        <v>730</v>
      </c>
      <c r="C52" s="91">
        <v>550378</v>
      </c>
      <c r="D52" s="566">
        <f>VLOOKUP(A52,TB!$A:$E,5,FALSE)</f>
        <v>55389.3</v>
      </c>
      <c r="E52" s="565"/>
      <c r="F52" s="446"/>
      <c r="G52" s="465"/>
      <c r="H52" s="465"/>
      <c r="I52" s="151"/>
      <c r="J52" s="444"/>
      <c r="K52" s="552"/>
      <c r="L52" s="462"/>
      <c r="M52" s="545"/>
      <c r="N52" s="447">
        <f t="shared" si="7"/>
        <v>55389.3</v>
      </c>
      <c r="O52" s="444">
        <f t="shared" si="8"/>
        <v>0</v>
      </c>
      <c r="P52" s="445">
        <v>44164.48</v>
      </c>
      <c r="Q52" s="553"/>
      <c r="R52" s="993"/>
      <c r="S52" s="1000"/>
      <c r="T52" s="1000">
        <v>54884.98</v>
      </c>
      <c r="U52" s="429">
        <f t="shared" si="9"/>
        <v>0.5043199999999997</v>
      </c>
      <c r="V52" s="435">
        <f t="shared" si="10"/>
        <v>0.009188670561599907</v>
      </c>
      <c r="W52" s="610">
        <f t="shared" si="11"/>
        <v>11.22482</v>
      </c>
      <c r="X52" s="613">
        <f t="shared" si="12"/>
        <v>0.2541594512150941</v>
      </c>
    </row>
    <row r="53" spans="1:24" s="120" customFormat="1" ht="11.25">
      <c r="A53" s="221">
        <v>550379</v>
      </c>
      <c r="B53" s="238" t="s">
        <v>729</v>
      </c>
      <c r="C53" s="378">
        <v>550379</v>
      </c>
      <c r="D53" s="566">
        <f>VLOOKUP(A53,TB!$A:$E,5,FALSE)</f>
        <v>141700.36</v>
      </c>
      <c r="E53" s="565"/>
      <c r="F53" s="446"/>
      <c r="G53" s="465"/>
      <c r="H53" s="465"/>
      <c r="I53" s="151"/>
      <c r="J53" s="444"/>
      <c r="K53" s="552"/>
      <c r="L53" s="462"/>
      <c r="M53" s="545"/>
      <c r="N53" s="447">
        <f t="shared" si="7"/>
        <v>141700.36</v>
      </c>
      <c r="O53" s="444">
        <f t="shared" si="8"/>
        <v>0</v>
      </c>
      <c r="P53" s="445">
        <v>140527.21</v>
      </c>
      <c r="Q53" s="553"/>
      <c r="R53" s="993"/>
      <c r="S53" s="1000"/>
      <c r="T53" s="1000">
        <v>143650.03</v>
      </c>
      <c r="U53" s="429">
        <f t="shared" si="9"/>
        <v>-1.949670000000013</v>
      </c>
      <c r="V53" s="435">
        <f t="shared" si="10"/>
        <v>-0.013572360548758764</v>
      </c>
      <c r="W53" s="610">
        <f t="shared" si="11"/>
        <v>1.1731499999999941</v>
      </c>
      <c r="X53" s="613">
        <f t="shared" si="12"/>
        <v>0.008348205304865828</v>
      </c>
    </row>
    <row r="54" spans="1:24" s="120" customFormat="1" ht="11.25">
      <c r="A54" s="221">
        <v>550380</v>
      </c>
      <c r="B54" s="238" t="s">
        <v>791</v>
      </c>
      <c r="C54" s="378">
        <v>550380</v>
      </c>
      <c r="D54" s="566">
        <f>VLOOKUP(A54,TB!$A:$E,5,FALSE)</f>
        <v>500001.32999999996</v>
      </c>
      <c r="E54" s="565"/>
      <c r="F54" s="446"/>
      <c r="G54" s="465"/>
      <c r="H54" s="465"/>
      <c r="I54" s="151"/>
      <c r="J54" s="444"/>
      <c r="K54" s="552"/>
      <c r="L54" s="462"/>
      <c r="M54" s="545"/>
      <c r="N54" s="447">
        <f t="shared" si="7"/>
        <v>500001.32999999996</v>
      </c>
      <c r="O54" s="444">
        <f t="shared" si="8"/>
        <v>0</v>
      </c>
      <c r="P54" s="445">
        <v>469638.96</v>
      </c>
      <c r="Q54" s="553"/>
      <c r="R54" s="993"/>
      <c r="S54" s="1000"/>
      <c r="T54" s="1000">
        <v>513525.19</v>
      </c>
      <c r="U54" s="429">
        <f t="shared" si="9"/>
        <v>-13.523860000000044</v>
      </c>
      <c r="V54" s="435">
        <f t="shared" si="10"/>
        <v>-0.026335339070708574</v>
      </c>
      <c r="W54" s="610">
        <f t="shared" si="11"/>
        <v>30.362369999999938</v>
      </c>
      <c r="X54" s="613">
        <f t="shared" si="12"/>
        <v>0.06465044978380827</v>
      </c>
    </row>
    <row r="55" spans="1:24" s="120" customFormat="1" ht="11.25">
      <c r="A55" s="221">
        <v>550381</v>
      </c>
      <c r="B55" s="238" t="s">
        <v>792</v>
      </c>
      <c r="C55" s="378">
        <v>550381</v>
      </c>
      <c r="D55" s="566">
        <f>VLOOKUP(A55,TB!$A:$E,5,FALSE)</f>
        <v>1791.51</v>
      </c>
      <c r="E55" s="565"/>
      <c r="F55" s="446"/>
      <c r="G55" s="465"/>
      <c r="H55" s="465"/>
      <c r="I55" s="151"/>
      <c r="J55" s="444"/>
      <c r="K55" s="552"/>
      <c r="L55" s="462"/>
      <c r="M55" s="545"/>
      <c r="N55" s="447">
        <f t="shared" si="7"/>
        <v>1791.51</v>
      </c>
      <c r="O55" s="444">
        <f t="shared" si="8"/>
        <v>0</v>
      </c>
      <c r="P55" s="445">
        <v>1717.82</v>
      </c>
      <c r="Q55" s="553"/>
      <c r="R55" s="993"/>
      <c r="S55" s="1000"/>
      <c r="T55" s="1000">
        <v>1793.94</v>
      </c>
      <c r="U55" s="429">
        <f t="shared" si="9"/>
        <v>-0.0024300000000000636</v>
      </c>
      <c r="V55" s="435">
        <f t="shared" si="10"/>
        <v>-0.0013545603531891054</v>
      </c>
      <c r="W55" s="610">
        <f t="shared" si="11"/>
        <v>0.07369000000000006</v>
      </c>
      <c r="X55" s="613">
        <f t="shared" si="12"/>
        <v>0.04289739320767023</v>
      </c>
    </row>
    <row r="56" spans="1:24" s="120" customFormat="1" ht="11.25">
      <c r="A56" s="221">
        <v>550382</v>
      </c>
      <c r="B56" s="238" t="s">
        <v>793</v>
      </c>
      <c r="C56" s="378">
        <v>550382</v>
      </c>
      <c r="D56" s="566">
        <f>VLOOKUP(A56,TB!$A:$E,5,FALSE)</f>
        <v>28777.59</v>
      </c>
      <c r="E56" s="565"/>
      <c r="F56" s="446"/>
      <c r="G56" s="465"/>
      <c r="H56" s="465"/>
      <c r="I56" s="151"/>
      <c r="J56" s="444"/>
      <c r="K56" s="552"/>
      <c r="L56" s="462"/>
      <c r="M56" s="545"/>
      <c r="N56" s="447">
        <f t="shared" si="7"/>
        <v>28777.59</v>
      </c>
      <c r="O56" s="444">
        <f t="shared" si="8"/>
        <v>0</v>
      </c>
      <c r="P56" s="445">
        <v>34734.53</v>
      </c>
      <c r="Q56" s="553"/>
      <c r="R56" s="993"/>
      <c r="S56" s="1000"/>
      <c r="T56" s="1000">
        <v>31306.69</v>
      </c>
      <c r="U56" s="429">
        <f t="shared" si="9"/>
        <v>-2.5290999999999983</v>
      </c>
      <c r="V56" s="435">
        <f t="shared" si="10"/>
        <v>-0.08078465018179815</v>
      </c>
      <c r="W56" s="610">
        <f t="shared" si="11"/>
        <v>-5.956939999999999</v>
      </c>
      <c r="X56" s="613">
        <f t="shared" si="12"/>
        <v>-0.17149908174948672</v>
      </c>
    </row>
    <row r="57" spans="1:24" s="120" customFormat="1" ht="11.25">
      <c r="A57" s="221">
        <v>550390</v>
      </c>
      <c r="B57" s="238" t="s">
        <v>733</v>
      </c>
      <c r="C57" s="378">
        <v>550390</v>
      </c>
      <c r="D57" s="566">
        <f>VLOOKUP(A57,TB!$A:$E,5,FALSE)</f>
        <v>390600.78</v>
      </c>
      <c r="E57" s="565"/>
      <c r="F57" s="446"/>
      <c r="G57" s="465"/>
      <c r="H57" s="465"/>
      <c r="I57" s="151"/>
      <c r="J57" s="444"/>
      <c r="K57" s="552"/>
      <c r="L57" s="462"/>
      <c r="M57" s="545"/>
      <c r="N57" s="447">
        <f t="shared" si="7"/>
        <v>390600.78</v>
      </c>
      <c r="O57" s="444">
        <f t="shared" si="8"/>
        <v>0</v>
      </c>
      <c r="P57" s="445">
        <v>462846.77</v>
      </c>
      <c r="Q57" s="553"/>
      <c r="R57" s="993"/>
      <c r="S57" s="1000"/>
      <c r="T57" s="1000">
        <v>395975.01</v>
      </c>
      <c r="U57" s="429">
        <f t="shared" si="9"/>
        <v>-5.374229999999981</v>
      </c>
      <c r="V57" s="435">
        <f t="shared" si="10"/>
        <v>-0.013572144363352578</v>
      </c>
      <c r="W57" s="610">
        <f t="shared" si="11"/>
        <v>-72.24598999999999</v>
      </c>
      <c r="X57" s="613">
        <f t="shared" si="12"/>
        <v>-0.15609051349758796</v>
      </c>
    </row>
    <row r="58" spans="1:24" s="120" customFormat="1" ht="11.25">
      <c r="A58" s="221">
        <v>550400</v>
      </c>
      <c r="B58" s="238" t="s">
        <v>794</v>
      </c>
      <c r="C58" s="378">
        <v>550400</v>
      </c>
      <c r="D58" s="566">
        <f>VLOOKUP(A58,TB!$A:$E,5,FALSE)</f>
        <v>0</v>
      </c>
      <c r="E58" s="565"/>
      <c r="F58" s="446"/>
      <c r="G58" s="465"/>
      <c r="H58" s="465"/>
      <c r="I58" s="151"/>
      <c r="J58" s="444"/>
      <c r="K58" s="552"/>
      <c r="L58" s="462"/>
      <c r="M58" s="545"/>
      <c r="N58" s="447">
        <f t="shared" si="7"/>
        <v>0</v>
      </c>
      <c r="O58" s="444">
        <f t="shared" si="8"/>
        <v>0</v>
      </c>
      <c r="P58" s="445">
        <v>0</v>
      </c>
      <c r="Q58" s="553"/>
      <c r="R58" s="993"/>
      <c r="S58" s="1000"/>
      <c r="T58" s="1000">
        <v>0</v>
      </c>
      <c r="U58" s="429">
        <f t="shared" si="9"/>
        <v>0</v>
      </c>
      <c r="V58" s="435">
        <v>1</v>
      </c>
      <c r="W58" s="610">
        <f t="shared" si="11"/>
        <v>0</v>
      </c>
      <c r="X58" s="613" t="e">
        <f t="shared" si="12"/>
        <v>#DIV/0!</v>
      </c>
    </row>
    <row r="59" spans="1:24" s="120" customFormat="1" ht="11.25">
      <c r="A59" s="221">
        <v>550410</v>
      </c>
      <c r="B59" s="238" t="s">
        <v>795</v>
      </c>
      <c r="C59" s="378">
        <v>550410</v>
      </c>
      <c r="D59" s="566">
        <f>VLOOKUP(A59,TB!$A:$E,5,FALSE)</f>
        <v>148251</v>
      </c>
      <c r="E59" s="565"/>
      <c r="F59" s="446"/>
      <c r="G59" s="465"/>
      <c r="H59" s="465"/>
      <c r="I59" s="151"/>
      <c r="J59" s="444"/>
      <c r="K59" s="552"/>
      <c r="L59" s="462"/>
      <c r="M59" s="545"/>
      <c r="N59" s="447">
        <f t="shared" si="7"/>
        <v>148251</v>
      </c>
      <c r="O59" s="444">
        <f t="shared" si="8"/>
        <v>0</v>
      </c>
      <c r="P59" s="445">
        <v>26686.47</v>
      </c>
      <c r="Q59" s="553"/>
      <c r="R59" s="993"/>
      <c r="S59" s="1000"/>
      <c r="T59" s="1000">
        <v>286635.57</v>
      </c>
      <c r="U59" s="429">
        <f t="shared" si="9"/>
        <v>-138.38457</v>
      </c>
      <c r="V59" s="435">
        <f t="shared" si="10"/>
        <v>-0.48278924349828595</v>
      </c>
      <c r="W59" s="610">
        <f t="shared" si="11"/>
        <v>121.56453</v>
      </c>
      <c r="X59" s="613">
        <f t="shared" si="12"/>
        <v>4.55528700498792</v>
      </c>
    </row>
    <row r="60" spans="1:24" ht="11.25">
      <c r="A60" s="19">
        <v>550430</v>
      </c>
      <c r="B60" s="209" t="s">
        <v>796</v>
      </c>
      <c r="C60" s="378">
        <v>550430</v>
      </c>
      <c r="D60" s="566">
        <f>VLOOKUP(A60,TB!$A:$E,5,FALSE)</f>
        <v>45312.31</v>
      </c>
      <c r="E60" s="564"/>
      <c r="F60" s="446"/>
      <c r="G60" s="465"/>
      <c r="H60" s="468"/>
      <c r="I60" s="151"/>
      <c r="J60" s="444"/>
      <c r="K60" s="552"/>
      <c r="L60" s="462"/>
      <c r="M60" s="545"/>
      <c r="N60" s="447">
        <f t="shared" si="7"/>
        <v>45312.31</v>
      </c>
      <c r="O60" s="444">
        <f t="shared" si="8"/>
        <v>0</v>
      </c>
      <c r="P60" s="445">
        <v>44972.51</v>
      </c>
      <c r="Q60" s="553"/>
      <c r="R60" s="993"/>
      <c r="S60" s="1000"/>
      <c r="T60" s="1000">
        <v>45738.86</v>
      </c>
      <c r="U60" s="429">
        <f t="shared" si="9"/>
        <v>-0.4265500000000029</v>
      </c>
      <c r="V60" s="435">
        <f t="shared" si="10"/>
        <v>-0.009325768066803653</v>
      </c>
      <c r="W60" s="610">
        <f t="shared" si="11"/>
        <v>0.33979999999999566</v>
      </c>
      <c r="X60" s="613">
        <f t="shared" si="12"/>
        <v>0.007555726820673243</v>
      </c>
    </row>
    <row r="61" spans="1:24" ht="11.25">
      <c r="A61" s="19">
        <v>550440</v>
      </c>
      <c r="B61" s="209" t="s">
        <v>797</v>
      </c>
      <c r="C61" s="378"/>
      <c r="D61" s="566">
        <f>VLOOKUP(A61,TB!$A:$E,5,FALSE)</f>
        <v>0</v>
      </c>
      <c r="E61" s="564"/>
      <c r="F61" s="446"/>
      <c r="G61" s="465"/>
      <c r="H61" s="468"/>
      <c r="I61" s="151"/>
      <c r="J61" s="444"/>
      <c r="K61" s="552"/>
      <c r="L61" s="462"/>
      <c r="M61" s="545"/>
      <c r="N61" s="447">
        <f t="shared" si="7"/>
        <v>0</v>
      </c>
      <c r="O61" s="444">
        <f t="shared" si="8"/>
        <v>0</v>
      </c>
      <c r="P61" s="445">
        <v>0</v>
      </c>
      <c r="Q61" s="553"/>
      <c r="R61" s="993"/>
      <c r="S61" s="1000"/>
      <c r="T61" s="1000">
        <f>VLOOKUP(A61,'[1]6300'!$A$8:$O$134,15,FALSE)</f>
        <v>0</v>
      </c>
      <c r="U61" s="429">
        <f t="shared" si="9"/>
        <v>0</v>
      </c>
      <c r="V61" s="435"/>
      <c r="W61" s="610">
        <f t="shared" si="11"/>
        <v>0</v>
      </c>
      <c r="X61" s="613"/>
    </row>
    <row r="62" spans="1:24" ht="11.25">
      <c r="A62" s="19">
        <v>550450</v>
      </c>
      <c r="B62" s="209" t="s">
        <v>798</v>
      </c>
      <c r="C62" s="378">
        <v>550450</v>
      </c>
      <c r="D62" s="566">
        <f>VLOOKUP(A62,TB!$A:$E,5,FALSE)</f>
        <v>0</v>
      </c>
      <c r="E62" s="564"/>
      <c r="F62" s="446"/>
      <c r="G62" s="465"/>
      <c r="H62" s="468"/>
      <c r="I62" s="151"/>
      <c r="J62" s="444"/>
      <c r="K62" s="552"/>
      <c r="L62" s="462"/>
      <c r="M62" s="545"/>
      <c r="N62" s="447">
        <f t="shared" si="7"/>
        <v>0</v>
      </c>
      <c r="O62" s="444">
        <f t="shared" si="8"/>
        <v>0</v>
      </c>
      <c r="P62" s="445">
        <v>0</v>
      </c>
      <c r="Q62" s="553"/>
      <c r="R62" s="993"/>
      <c r="S62" s="1000"/>
      <c r="T62" s="1000">
        <v>0</v>
      </c>
      <c r="U62" s="429">
        <f t="shared" si="9"/>
        <v>0</v>
      </c>
      <c r="V62" s="435"/>
      <c r="W62" s="610">
        <f t="shared" si="11"/>
        <v>0</v>
      </c>
      <c r="X62" s="613"/>
    </row>
    <row r="63" spans="1:24" ht="11.25">
      <c r="A63" s="19">
        <v>550460</v>
      </c>
      <c r="B63" s="209" t="s">
        <v>799</v>
      </c>
      <c r="C63" s="378">
        <v>550460</v>
      </c>
      <c r="D63" s="566">
        <f>VLOOKUP(A63,TB!$A:$E,5,FALSE)</f>
        <v>1080220.28</v>
      </c>
      <c r="E63" s="564"/>
      <c r="F63" s="446"/>
      <c r="G63" s="465"/>
      <c r="H63" s="468"/>
      <c r="I63" s="151"/>
      <c r="J63" s="444"/>
      <c r="K63" s="552"/>
      <c r="L63" s="462"/>
      <c r="M63" s="545"/>
      <c r="N63" s="447">
        <f t="shared" si="7"/>
        <v>1080220.28</v>
      </c>
      <c r="O63" s="444">
        <f t="shared" si="8"/>
        <v>0</v>
      </c>
      <c r="P63" s="445">
        <v>1012169.8</v>
      </c>
      <c r="Q63" s="553"/>
      <c r="R63" s="993"/>
      <c r="S63" s="1000"/>
      <c r="T63" s="1000">
        <v>2556666.69</v>
      </c>
      <c r="U63" s="429">
        <f t="shared" si="9"/>
        <v>-1476.44641</v>
      </c>
      <c r="V63" s="435">
        <f t="shared" si="10"/>
        <v>-0.5774888122002325</v>
      </c>
      <c r="W63" s="610">
        <f t="shared" si="11"/>
        <v>68.05047999999998</v>
      </c>
      <c r="X63" s="613">
        <f t="shared" si="12"/>
        <v>0.06723227663974955</v>
      </c>
    </row>
    <row r="64" spans="1:24" ht="11.25">
      <c r="A64" s="19">
        <v>550470</v>
      </c>
      <c r="B64" s="209" t="s">
        <v>800</v>
      </c>
      <c r="C64" s="91"/>
      <c r="D64" s="566">
        <f>VLOOKUP(A64,TB!$A:$E,5,FALSE)</f>
        <v>0</v>
      </c>
      <c r="E64" s="564"/>
      <c r="F64" s="446"/>
      <c r="G64" s="465"/>
      <c r="H64" s="468"/>
      <c r="I64" s="151"/>
      <c r="J64" s="444"/>
      <c r="K64" s="552"/>
      <c r="L64" s="462"/>
      <c r="M64" s="545"/>
      <c r="N64" s="447">
        <f t="shared" si="7"/>
        <v>0</v>
      </c>
      <c r="O64" s="444">
        <f t="shared" si="8"/>
        <v>0</v>
      </c>
      <c r="P64" s="445">
        <v>0</v>
      </c>
      <c r="Q64" s="553"/>
      <c r="R64" s="993"/>
      <c r="S64" s="1000"/>
      <c r="T64" s="1000">
        <f>VLOOKUP(A64,'[1]6300'!$A$8:$O$134,15,FALSE)</f>
        <v>0</v>
      </c>
      <c r="U64" s="429">
        <f t="shared" si="9"/>
        <v>0</v>
      </c>
      <c r="V64" s="435"/>
      <c r="W64" s="610">
        <f t="shared" si="11"/>
        <v>0</v>
      </c>
      <c r="X64" s="613"/>
    </row>
    <row r="65" spans="1:24" ht="11.25">
      <c r="A65" s="19">
        <v>550480</v>
      </c>
      <c r="B65" s="209" t="s">
        <v>801</v>
      </c>
      <c r="C65" s="91">
        <v>550480</v>
      </c>
      <c r="D65" s="566">
        <f>VLOOKUP(A65,TB!$A:$E,5,FALSE)</f>
        <v>48173</v>
      </c>
      <c r="E65" s="564"/>
      <c r="F65" s="446"/>
      <c r="G65" s="465"/>
      <c r="H65" s="468"/>
      <c r="I65" s="151"/>
      <c r="J65" s="444"/>
      <c r="K65" s="552"/>
      <c r="L65" s="462"/>
      <c r="M65" s="545"/>
      <c r="N65" s="447">
        <f t="shared" si="7"/>
        <v>48173</v>
      </c>
      <c r="O65" s="444">
        <f t="shared" si="8"/>
        <v>0</v>
      </c>
      <c r="P65" s="445">
        <v>0</v>
      </c>
      <c r="Q65" s="553"/>
      <c r="R65" s="993"/>
      <c r="S65" s="1000"/>
      <c r="T65" s="1000">
        <v>0</v>
      </c>
      <c r="U65" s="429">
        <f t="shared" si="9"/>
        <v>48.173</v>
      </c>
      <c r="V65" s="435">
        <v>1</v>
      </c>
      <c r="W65" s="610">
        <f t="shared" si="11"/>
        <v>48.173</v>
      </c>
      <c r="X65" s="613">
        <v>1</v>
      </c>
    </row>
    <row r="66" spans="1:24" ht="11.25">
      <c r="A66" s="19">
        <v>550490</v>
      </c>
      <c r="B66" s="209" t="s">
        <v>802</v>
      </c>
      <c r="C66" s="91">
        <v>550490</v>
      </c>
      <c r="D66" s="566">
        <f>VLOOKUP(A66,TB!$A:$E,5,FALSE)</f>
        <v>1</v>
      </c>
      <c r="E66" s="564"/>
      <c r="F66" s="446"/>
      <c r="G66" s="465"/>
      <c r="H66" s="468"/>
      <c r="I66" s="151"/>
      <c r="J66" s="444"/>
      <c r="K66" s="552"/>
      <c r="L66" s="462"/>
      <c r="M66" s="545"/>
      <c r="N66" s="447">
        <f t="shared" si="7"/>
        <v>1</v>
      </c>
      <c r="O66" s="444">
        <f t="shared" si="8"/>
        <v>0</v>
      </c>
      <c r="P66" s="445">
        <v>0</v>
      </c>
      <c r="Q66" s="553"/>
      <c r="R66" s="993"/>
      <c r="S66" s="1000"/>
      <c r="T66" s="1000">
        <f>VLOOKUP(A66,'[1]6300'!$A$8:$O$134,15,FALSE)</f>
        <v>0</v>
      </c>
      <c r="U66" s="429">
        <f t="shared" si="9"/>
        <v>0.001</v>
      </c>
      <c r="V66" s="435">
        <v>1</v>
      </c>
      <c r="W66" s="610">
        <f t="shared" si="11"/>
        <v>0.001</v>
      </c>
      <c r="X66" s="613" t="e">
        <f t="shared" si="12"/>
        <v>#DIV/0!</v>
      </c>
    </row>
    <row r="67" spans="1:24" ht="11.25">
      <c r="A67" s="19">
        <v>550500</v>
      </c>
      <c r="B67" s="209" t="s">
        <v>803</v>
      </c>
      <c r="C67" s="91"/>
      <c r="D67" s="566">
        <f>VLOOKUP(A67,TB!$A:$E,5,FALSE)</f>
        <v>0</v>
      </c>
      <c r="E67" s="564"/>
      <c r="F67" s="446"/>
      <c r="G67" s="465"/>
      <c r="H67" s="468"/>
      <c r="I67" s="151"/>
      <c r="J67" s="444"/>
      <c r="K67" s="552"/>
      <c r="L67" s="462"/>
      <c r="M67" s="545"/>
      <c r="N67" s="447">
        <f t="shared" si="7"/>
        <v>0</v>
      </c>
      <c r="O67" s="444">
        <f t="shared" si="8"/>
        <v>0</v>
      </c>
      <c r="P67" s="445">
        <v>0</v>
      </c>
      <c r="Q67" s="553"/>
      <c r="R67" s="993"/>
      <c r="S67" s="1000"/>
      <c r="T67" s="1000">
        <f>VLOOKUP(A67,'[1]6300'!$A$8:$O$134,15,FALSE)</f>
        <v>0</v>
      </c>
      <c r="U67" s="429">
        <f t="shared" si="9"/>
        <v>0</v>
      </c>
      <c r="V67" s="435"/>
      <c r="W67" s="610">
        <f t="shared" si="11"/>
        <v>0</v>
      </c>
      <c r="X67" s="613"/>
    </row>
    <row r="68" spans="1:24" ht="11.25">
      <c r="A68" s="19">
        <v>550600</v>
      </c>
      <c r="B68" s="209" t="s">
        <v>804</v>
      </c>
      <c r="C68" s="91"/>
      <c r="D68" s="566">
        <f>VLOOKUP(A68,TB!$A:$E,5,FALSE)</f>
        <v>0</v>
      </c>
      <c r="E68" s="564"/>
      <c r="F68" s="446"/>
      <c r="G68" s="465"/>
      <c r="H68" s="468"/>
      <c r="I68" s="151"/>
      <c r="J68" s="444"/>
      <c r="K68" s="552"/>
      <c r="L68" s="462"/>
      <c r="M68" s="545"/>
      <c r="N68" s="447">
        <f t="shared" si="7"/>
        <v>0</v>
      </c>
      <c r="O68" s="444">
        <f t="shared" si="8"/>
        <v>0</v>
      </c>
      <c r="P68" s="445">
        <v>0</v>
      </c>
      <c r="Q68" s="553"/>
      <c r="R68" s="993"/>
      <c r="S68" s="1000"/>
      <c r="T68" s="1000">
        <f>VLOOKUP(A68,'[1]6300'!$A$8:$O$134,15,FALSE)</f>
        <v>0</v>
      </c>
      <c r="U68" s="429">
        <f t="shared" si="9"/>
        <v>0</v>
      </c>
      <c r="V68" s="435"/>
      <c r="W68" s="610">
        <f t="shared" si="11"/>
        <v>0</v>
      </c>
      <c r="X68" s="613"/>
    </row>
    <row r="69" spans="1:24" ht="11.25">
      <c r="A69" s="19">
        <v>551000</v>
      </c>
      <c r="B69" s="209" t="s">
        <v>806</v>
      </c>
      <c r="C69" s="91">
        <v>551000</v>
      </c>
      <c r="D69" s="566">
        <f>VLOOKUP(A69,TB!$A:$E,5,FALSE)</f>
        <v>359011.68</v>
      </c>
      <c r="E69" s="564"/>
      <c r="F69" s="446"/>
      <c r="G69" s="465"/>
      <c r="H69" s="468"/>
      <c r="I69" s="151"/>
      <c r="J69" s="444"/>
      <c r="K69" s="552"/>
      <c r="L69" s="462"/>
      <c r="M69" s="545"/>
      <c r="N69" s="447">
        <f t="shared" si="7"/>
        <v>359011.68</v>
      </c>
      <c r="O69" s="444">
        <f t="shared" si="8"/>
        <v>0</v>
      </c>
      <c r="P69" s="445">
        <v>361228.87</v>
      </c>
      <c r="Q69" s="553"/>
      <c r="R69" s="993"/>
      <c r="S69" s="1000"/>
      <c r="T69" s="1000">
        <v>484188.03</v>
      </c>
      <c r="U69" s="429">
        <f t="shared" si="9"/>
        <v>-125.17635000000004</v>
      </c>
      <c r="V69" s="435">
        <f t="shared" si="10"/>
        <v>-0.2585283861726198</v>
      </c>
      <c r="W69" s="610">
        <f t="shared" si="11"/>
        <v>-2.217190000000002</v>
      </c>
      <c r="X69" s="613">
        <f t="shared" si="12"/>
        <v>-0.006137909187601762</v>
      </c>
    </row>
    <row r="70" spans="1:24" ht="11.25">
      <c r="A70" s="19">
        <v>551101</v>
      </c>
      <c r="B70" s="209" t="s">
        <v>878</v>
      </c>
      <c r="C70" s="91">
        <v>551101</v>
      </c>
      <c r="D70" s="566">
        <f>VLOOKUP(A70,TB!$A:$E,5,FALSE)</f>
        <v>0</v>
      </c>
      <c r="E70" s="564"/>
      <c r="F70" s="446"/>
      <c r="G70" s="447"/>
      <c r="H70" s="468"/>
      <c r="I70" s="151"/>
      <c r="J70" s="444"/>
      <c r="K70" s="552"/>
      <c r="L70" s="462"/>
      <c r="M70" s="545"/>
      <c r="N70" s="447">
        <f t="shared" si="7"/>
        <v>0</v>
      </c>
      <c r="O70" s="444">
        <f t="shared" si="8"/>
        <v>0</v>
      </c>
      <c r="P70" s="445">
        <v>0</v>
      </c>
      <c r="Q70" s="553"/>
      <c r="R70" s="993"/>
      <c r="S70" s="1000"/>
      <c r="T70" s="1000">
        <v>1046144.14</v>
      </c>
      <c r="U70" s="429">
        <f t="shared" si="9"/>
        <v>-1046.14414</v>
      </c>
      <c r="V70" s="435"/>
      <c r="W70" s="610">
        <f t="shared" si="11"/>
        <v>0</v>
      </c>
      <c r="X70" s="613"/>
    </row>
    <row r="71" spans="1:24" ht="11.25">
      <c r="A71" s="19">
        <v>551130</v>
      </c>
      <c r="B71" s="209" t="s">
        <v>807</v>
      </c>
      <c r="C71" s="91">
        <v>551130</v>
      </c>
      <c r="D71" s="566">
        <f>VLOOKUP(A71,TB!$A:$E,5,FALSE)</f>
        <v>0</v>
      </c>
      <c r="E71" s="564"/>
      <c r="F71" s="446"/>
      <c r="G71" s="447"/>
      <c r="H71" s="468"/>
      <c r="I71" s="151"/>
      <c r="J71" s="444"/>
      <c r="K71" s="552"/>
      <c r="L71" s="462"/>
      <c r="M71" s="545"/>
      <c r="N71" s="447">
        <f t="shared" si="7"/>
        <v>0</v>
      </c>
      <c r="O71" s="444">
        <f t="shared" si="8"/>
        <v>0</v>
      </c>
      <c r="P71" s="445">
        <v>0</v>
      </c>
      <c r="Q71" s="553"/>
      <c r="R71" s="993"/>
      <c r="S71" s="1000"/>
      <c r="T71" s="1000">
        <v>0</v>
      </c>
      <c r="U71" s="429">
        <f t="shared" si="9"/>
        <v>0</v>
      </c>
      <c r="V71" s="435"/>
      <c r="W71" s="610">
        <f t="shared" si="11"/>
        <v>0</v>
      </c>
      <c r="X71" s="613"/>
    </row>
    <row r="72" spans="1:24" ht="11.25">
      <c r="A72" s="19">
        <v>551140</v>
      </c>
      <c r="B72" s="209" t="s">
        <v>747</v>
      </c>
      <c r="C72" s="91">
        <v>551140</v>
      </c>
      <c r="D72" s="566">
        <f>VLOOKUP(A72,TB!$A:$E,5,FALSE)</f>
        <v>354143.43</v>
      </c>
      <c r="E72" s="564"/>
      <c r="F72" s="446"/>
      <c r="G72" s="465"/>
      <c r="H72" s="468"/>
      <c r="I72" s="151"/>
      <c r="J72" s="444"/>
      <c r="K72" s="552"/>
      <c r="L72" s="462"/>
      <c r="M72" s="545"/>
      <c r="N72" s="447">
        <f t="shared" si="7"/>
        <v>354143.43</v>
      </c>
      <c r="O72" s="444">
        <f t="shared" si="8"/>
        <v>0</v>
      </c>
      <c r="P72" s="445">
        <v>362072.84</v>
      </c>
      <c r="Q72" s="553"/>
      <c r="R72" s="993"/>
      <c r="S72" s="1000"/>
      <c r="T72" s="1000">
        <v>357674.02</v>
      </c>
      <c r="U72" s="429">
        <f t="shared" si="9"/>
        <v>-3.5305900000000254</v>
      </c>
      <c r="V72" s="435">
        <f t="shared" si="10"/>
        <v>-0.009870971338650834</v>
      </c>
      <c r="W72" s="610">
        <f t="shared" si="11"/>
        <v>-7.929410000000033</v>
      </c>
      <c r="X72" s="613">
        <f t="shared" si="12"/>
        <v>-0.021900040886800656</v>
      </c>
    </row>
    <row r="73" spans="1:24" ht="11.25">
      <c r="A73" s="19">
        <v>551141</v>
      </c>
      <c r="B73" s="209" t="s">
        <v>722</v>
      </c>
      <c r="C73" s="91">
        <v>551141</v>
      </c>
      <c r="D73" s="566">
        <f>VLOOKUP(A73,TB!$A:$E,5,FALSE)</f>
        <v>2633.49</v>
      </c>
      <c r="E73" s="564"/>
      <c r="F73" s="446"/>
      <c r="G73" s="465"/>
      <c r="H73" s="468"/>
      <c r="I73" s="151"/>
      <c r="J73" s="444"/>
      <c r="K73" s="552"/>
      <c r="L73" s="462"/>
      <c r="M73" s="545"/>
      <c r="N73" s="447">
        <f t="shared" si="7"/>
        <v>2633.49</v>
      </c>
      <c r="O73" s="444">
        <f t="shared" si="8"/>
        <v>0</v>
      </c>
      <c r="P73" s="445">
        <v>2374.14</v>
      </c>
      <c r="Q73" s="553"/>
      <c r="R73" s="993"/>
      <c r="S73" s="1000"/>
      <c r="T73" s="1000">
        <v>10347.48</v>
      </c>
      <c r="U73" s="429">
        <f t="shared" si="9"/>
        <v>-7.71399</v>
      </c>
      <c r="V73" s="435">
        <f t="shared" si="10"/>
        <v>-0.7454945551960478</v>
      </c>
      <c r="W73" s="610">
        <f t="shared" si="11"/>
        <v>0.2593499999999999</v>
      </c>
      <c r="X73" s="613">
        <f t="shared" si="12"/>
        <v>0.10923955621825164</v>
      </c>
    </row>
    <row r="74" spans="1:24" ht="11.25">
      <c r="A74" s="19">
        <v>551160</v>
      </c>
      <c r="B74" s="209" t="s">
        <v>808</v>
      </c>
      <c r="C74" s="91">
        <v>551160</v>
      </c>
      <c r="D74" s="566">
        <f>VLOOKUP(A74,TB!$A:$E,5,FALSE)</f>
        <v>0</v>
      </c>
      <c r="E74" s="564"/>
      <c r="F74" s="446"/>
      <c r="G74" s="465"/>
      <c r="H74" s="468"/>
      <c r="I74" s="151"/>
      <c r="J74" s="444"/>
      <c r="K74" s="552"/>
      <c r="L74" s="462"/>
      <c r="M74" s="545"/>
      <c r="N74" s="447">
        <f t="shared" si="7"/>
        <v>0</v>
      </c>
      <c r="O74" s="444">
        <f t="shared" si="8"/>
        <v>0</v>
      </c>
      <c r="P74" s="445">
        <v>0</v>
      </c>
      <c r="Q74" s="553"/>
      <c r="R74" s="993"/>
      <c r="S74" s="1000"/>
      <c r="T74" s="1000">
        <v>0</v>
      </c>
      <c r="U74" s="429">
        <f t="shared" si="9"/>
        <v>0</v>
      </c>
      <c r="V74" s="435"/>
      <c r="W74" s="610">
        <f t="shared" si="11"/>
        <v>0</v>
      </c>
      <c r="X74" s="613"/>
    </row>
    <row r="75" spans="1:24" ht="11.25">
      <c r="A75" s="19">
        <v>551180</v>
      </c>
      <c r="B75" s="209" t="s">
        <v>726</v>
      </c>
      <c r="C75" s="91">
        <v>551180</v>
      </c>
      <c r="D75" s="566">
        <f>VLOOKUP(A75,TB!$A:$E,5,FALSE)</f>
        <v>205980.91</v>
      </c>
      <c r="E75" s="564"/>
      <c r="F75" s="446"/>
      <c r="G75" s="465"/>
      <c r="H75" s="468"/>
      <c r="I75" s="151"/>
      <c r="J75" s="444"/>
      <c r="K75" s="552"/>
      <c r="L75" s="462"/>
      <c r="M75" s="545"/>
      <c r="N75" s="447">
        <f t="shared" si="7"/>
        <v>205980.91</v>
      </c>
      <c r="O75" s="444">
        <f t="shared" si="8"/>
        <v>0</v>
      </c>
      <c r="P75" s="445">
        <v>204586.03</v>
      </c>
      <c r="Q75" s="553"/>
      <c r="R75" s="993"/>
      <c r="S75" s="1000"/>
      <c r="T75" s="1000">
        <v>132580.04</v>
      </c>
      <c r="U75" s="429">
        <f t="shared" si="9"/>
        <v>73.40087</v>
      </c>
      <c r="V75" s="435">
        <f t="shared" si="10"/>
        <v>0.5536343932314396</v>
      </c>
      <c r="W75" s="610">
        <f t="shared" si="11"/>
        <v>1.3948800000000046</v>
      </c>
      <c r="X75" s="613">
        <f t="shared" si="12"/>
        <v>0.006818060842179716</v>
      </c>
    </row>
    <row r="76" spans="1:24" ht="11.25">
      <c r="A76" s="19">
        <v>560170</v>
      </c>
      <c r="B76" s="209" t="s">
        <v>809</v>
      </c>
      <c r="C76" s="91"/>
      <c r="D76" s="566">
        <f>VLOOKUP(A76,TB!$A:$E,5,FALSE)</f>
        <v>0</v>
      </c>
      <c r="E76" s="564"/>
      <c r="F76" s="446"/>
      <c r="G76" s="465"/>
      <c r="H76" s="468"/>
      <c r="I76" s="151"/>
      <c r="J76" s="444"/>
      <c r="K76" s="552"/>
      <c r="L76" s="462"/>
      <c r="M76" s="545"/>
      <c r="N76" s="447">
        <f t="shared" si="7"/>
        <v>0</v>
      </c>
      <c r="O76" s="444">
        <f t="shared" si="8"/>
        <v>0</v>
      </c>
      <c r="P76" s="445">
        <v>0</v>
      </c>
      <c r="Q76" s="553"/>
      <c r="R76" s="993"/>
      <c r="S76" s="1000"/>
      <c r="T76" s="1000">
        <f>VLOOKUP(A76,'[1]6300'!$A$8:$O$134,15,FALSE)</f>
        <v>0</v>
      </c>
      <c r="U76" s="429">
        <f t="shared" si="9"/>
        <v>0</v>
      </c>
      <c r="V76" s="435"/>
      <c r="W76" s="610">
        <f t="shared" si="11"/>
        <v>0</v>
      </c>
      <c r="X76" s="613"/>
    </row>
    <row r="77" spans="1:24" ht="11.25">
      <c r="A77" s="221">
        <v>551110</v>
      </c>
      <c r="B77" s="209" t="s">
        <v>810</v>
      </c>
      <c r="C77" s="91"/>
      <c r="D77" s="566">
        <f>VLOOKUP(A77,TB!$A:$E,5,FALSE)</f>
        <v>237220.74</v>
      </c>
      <c r="E77" s="564"/>
      <c r="F77" s="446"/>
      <c r="G77" s="465"/>
      <c r="H77" s="468"/>
      <c r="I77" s="151"/>
      <c r="J77" s="444"/>
      <c r="K77" s="552"/>
      <c r="L77" s="462"/>
      <c r="M77" s="545"/>
      <c r="N77" s="447">
        <f t="shared" si="7"/>
        <v>237220.74</v>
      </c>
      <c r="O77" s="444">
        <f t="shared" si="8"/>
        <v>0</v>
      </c>
      <c r="P77" s="445">
        <v>305654.9</v>
      </c>
      <c r="Q77" s="553"/>
      <c r="R77" s="993"/>
      <c r="S77" s="1000"/>
      <c r="T77" s="1000">
        <v>96882.69000000006</v>
      </c>
      <c r="U77" s="429">
        <f t="shared" si="9"/>
        <v>140.33804999999992</v>
      </c>
      <c r="V77" s="435">
        <f t="shared" si="10"/>
        <v>1.4485358529991255</v>
      </c>
      <c r="W77" s="610">
        <f t="shared" si="11"/>
        <v>-68.43416000000003</v>
      </c>
      <c r="X77" s="613">
        <f t="shared" si="12"/>
        <v>-0.2238935479195656</v>
      </c>
    </row>
    <row r="78" spans="1:24" ht="11.25">
      <c r="A78" s="19">
        <v>551111</v>
      </c>
      <c r="B78" s="209" t="s">
        <v>811</v>
      </c>
      <c r="C78" s="91"/>
      <c r="D78" s="566">
        <f>VLOOKUP(A78,TB!$A:$E,5,FALSE)</f>
        <v>0</v>
      </c>
      <c r="E78" s="564"/>
      <c r="F78" s="446"/>
      <c r="G78" s="465"/>
      <c r="H78" s="468"/>
      <c r="I78" s="151"/>
      <c r="J78" s="444"/>
      <c r="K78" s="552"/>
      <c r="L78" s="462"/>
      <c r="M78" s="545"/>
      <c r="N78" s="447">
        <f t="shared" si="7"/>
        <v>0</v>
      </c>
      <c r="O78" s="444">
        <f t="shared" si="8"/>
        <v>0</v>
      </c>
      <c r="P78" s="445">
        <v>0</v>
      </c>
      <c r="Q78" s="553"/>
      <c r="R78" s="993"/>
      <c r="S78" s="1000"/>
      <c r="T78" s="1000">
        <f>VLOOKUP(A78,'[1]6300'!$A$8:$O$134,15,FALSE)</f>
        <v>0</v>
      </c>
      <c r="U78" s="429">
        <f t="shared" si="9"/>
        <v>0</v>
      </c>
      <c r="V78" s="435"/>
      <c r="W78" s="610">
        <f t="shared" si="11"/>
        <v>0</v>
      </c>
      <c r="X78" s="613"/>
    </row>
    <row r="79" spans="1:24" s="120" customFormat="1" ht="11.25">
      <c r="A79" s="221">
        <v>551112</v>
      </c>
      <c r="B79" s="238" t="s">
        <v>812</v>
      </c>
      <c r="C79" s="91"/>
      <c r="D79" s="566">
        <f>VLOOKUP(A79,TB!$A:$E,5,FALSE)</f>
        <v>54106.61</v>
      </c>
      <c r="E79" s="565"/>
      <c r="F79" s="446"/>
      <c r="G79" s="465"/>
      <c r="H79" s="465"/>
      <c r="I79" s="151"/>
      <c r="J79" s="444"/>
      <c r="K79" s="552"/>
      <c r="L79" s="462"/>
      <c r="M79" s="545"/>
      <c r="N79" s="447">
        <f t="shared" si="7"/>
        <v>54106.61</v>
      </c>
      <c r="O79" s="444">
        <f t="shared" si="8"/>
        <v>0</v>
      </c>
      <c r="P79" s="445">
        <v>12.75</v>
      </c>
      <c r="Q79" s="553"/>
      <c r="R79" s="993"/>
      <c r="S79" s="1000"/>
      <c r="T79" s="1000">
        <v>2.22</v>
      </c>
      <c r="U79" s="429">
        <f t="shared" si="9"/>
        <v>54.10439</v>
      </c>
      <c r="V79" s="435">
        <f t="shared" si="10"/>
        <v>24371.346846846845</v>
      </c>
      <c r="W79" s="610">
        <f t="shared" si="11"/>
        <v>54.09386</v>
      </c>
      <c r="X79" s="613">
        <f t="shared" si="12"/>
        <v>4242.65568627451</v>
      </c>
    </row>
    <row r="80" spans="1:24" s="120" customFormat="1" ht="11.25">
      <c r="A80" s="221">
        <v>551120</v>
      </c>
      <c r="B80" s="238" t="s">
        <v>934</v>
      </c>
      <c r="C80" s="91"/>
      <c r="D80" s="566"/>
      <c r="E80" s="565"/>
      <c r="F80" s="446"/>
      <c r="G80" s="465"/>
      <c r="H80" s="465"/>
      <c r="I80" s="151"/>
      <c r="J80" s="444"/>
      <c r="K80" s="552"/>
      <c r="L80" s="462"/>
      <c r="M80" s="545"/>
      <c r="N80" s="447">
        <f t="shared" si="7"/>
        <v>0</v>
      </c>
      <c r="O80" s="444">
        <f t="shared" si="8"/>
        <v>0</v>
      </c>
      <c r="P80" s="445">
        <v>0</v>
      </c>
      <c r="Q80" s="553"/>
      <c r="R80" s="993"/>
      <c r="S80" s="1000"/>
      <c r="T80" s="1000"/>
      <c r="U80" s="429">
        <f t="shared" si="9"/>
        <v>0</v>
      </c>
      <c r="V80" s="435"/>
      <c r="W80" s="610">
        <f t="shared" si="11"/>
        <v>0</v>
      </c>
      <c r="X80" s="613"/>
    </row>
    <row r="81" spans="1:24" s="120" customFormat="1" ht="11.25">
      <c r="A81" s="1082">
        <v>423000</v>
      </c>
      <c r="B81" s="377" t="s">
        <v>947</v>
      </c>
      <c r="C81" s="91"/>
      <c r="D81" s="566">
        <f>VLOOKUP(A81,TB!$A:$E,5,FALSE)</f>
        <v>5729315.97654</v>
      </c>
      <c r="E81" s="565"/>
      <c r="F81" s="446"/>
      <c r="G81" s="465"/>
      <c r="H81" s="465"/>
      <c r="I81" s="151"/>
      <c r="J81" s="444"/>
      <c r="K81" s="1093"/>
      <c r="L81" s="443"/>
      <c r="M81" s="545"/>
      <c r="N81" s="447">
        <f t="shared" si="7"/>
        <v>5729315.97654</v>
      </c>
      <c r="O81" s="444">
        <f t="shared" si="8"/>
        <v>0</v>
      </c>
      <c r="P81" s="445">
        <v>2263864.65</v>
      </c>
      <c r="Q81" s="553"/>
      <c r="R81" s="993"/>
      <c r="S81" s="1000"/>
      <c r="T81" s="1000">
        <v>1060325.48</v>
      </c>
      <c r="U81" s="429">
        <f t="shared" si="9"/>
        <v>4668.990496540001</v>
      </c>
      <c r="V81" s="435">
        <v>1</v>
      </c>
      <c r="W81" s="610">
        <f t="shared" si="11"/>
        <v>3465.45132654</v>
      </c>
      <c r="X81" s="613">
        <v>1</v>
      </c>
    </row>
    <row r="82" spans="1:24" s="120" customFormat="1" ht="11.25">
      <c r="A82" s="919">
        <v>423100</v>
      </c>
      <c r="B82" s="377" t="s">
        <v>952</v>
      </c>
      <c r="C82" s="91"/>
      <c r="D82" s="566"/>
      <c r="E82" s="565">
        <v>0</v>
      </c>
      <c r="F82" s="446">
        <f>E82-D82</f>
        <v>0</v>
      </c>
      <c r="G82" s="465">
        <v>0</v>
      </c>
      <c r="H82" s="465">
        <v>0</v>
      </c>
      <c r="I82" s="151" t="e">
        <f>VLOOKUP(A82,#REF!,23,0)</f>
        <v>#REF!</v>
      </c>
      <c r="J82" s="444" t="e">
        <f>I82-G82</f>
        <v>#REF!</v>
      </c>
      <c r="K82" s="552"/>
      <c r="L82" s="462"/>
      <c r="M82" s="545"/>
      <c r="N82" s="447">
        <f t="shared" si="7"/>
        <v>0</v>
      </c>
      <c r="O82" s="444" t="e">
        <f t="shared" si="8"/>
        <v>#REF!</v>
      </c>
      <c r="P82" s="445">
        <v>0</v>
      </c>
      <c r="Q82" s="553"/>
      <c r="R82" s="993"/>
      <c r="S82" s="1000"/>
      <c r="T82" s="1000">
        <f>VLOOKUP(A82,'[1]6300'!$A$8:$O$134,15,FALSE)</f>
        <v>0</v>
      </c>
      <c r="U82" s="429">
        <f t="shared" si="9"/>
        <v>0</v>
      </c>
      <c r="V82" s="435"/>
      <c r="W82" s="610">
        <f t="shared" si="11"/>
        <v>0</v>
      </c>
      <c r="X82" s="613"/>
    </row>
    <row r="83" spans="1:24" s="120" customFormat="1" ht="11.25">
      <c r="A83" s="918">
        <v>422202</v>
      </c>
      <c r="B83" s="384" t="s">
        <v>813</v>
      </c>
      <c r="C83" s="91"/>
      <c r="D83" s="566">
        <f>VLOOKUP(A83,TB!$A:$E,5,FALSE)</f>
        <v>0</v>
      </c>
      <c r="E83" s="565"/>
      <c r="F83" s="446"/>
      <c r="G83" s="465"/>
      <c r="H83" s="465"/>
      <c r="I83" s="151"/>
      <c r="J83" s="444"/>
      <c r="K83" s="552"/>
      <c r="L83" s="462"/>
      <c r="M83" s="545"/>
      <c r="N83" s="447">
        <f t="shared" si="7"/>
        <v>0</v>
      </c>
      <c r="O83" s="444">
        <f t="shared" si="8"/>
        <v>0</v>
      </c>
      <c r="P83" s="445">
        <v>0</v>
      </c>
      <c r="Q83" s="553"/>
      <c r="R83" s="993"/>
      <c r="S83" s="1000"/>
      <c r="T83" s="1000">
        <f>VLOOKUP(A83,'[1]6300'!$A$8:$O$134,15,FALSE)</f>
        <v>0</v>
      </c>
      <c r="U83" s="429">
        <f t="shared" si="9"/>
        <v>0</v>
      </c>
      <c r="V83" s="435"/>
      <c r="W83" s="610">
        <f t="shared" si="11"/>
        <v>0</v>
      </c>
      <c r="X83" s="613"/>
    </row>
    <row r="84" spans="1:24" ht="11.25">
      <c r="A84" s="19">
        <v>551200</v>
      </c>
      <c r="B84" s="209" t="s">
        <v>814</v>
      </c>
      <c r="C84" s="91"/>
      <c r="D84" s="566">
        <f>VLOOKUP(A84,TB!$A:$E,5,FALSE)</f>
        <v>308336.82</v>
      </c>
      <c r="E84" s="564"/>
      <c r="F84" s="446"/>
      <c r="G84" s="465"/>
      <c r="H84" s="468"/>
      <c r="I84" s="151"/>
      <c r="J84" s="444"/>
      <c r="K84" s="552"/>
      <c r="L84" s="462"/>
      <c r="M84" s="545"/>
      <c r="N84" s="447">
        <f t="shared" si="7"/>
        <v>308336.82</v>
      </c>
      <c r="O84" s="444">
        <f t="shared" si="8"/>
        <v>0</v>
      </c>
      <c r="P84" s="445">
        <v>306012.19</v>
      </c>
      <c r="Q84" s="553"/>
      <c r="R84" s="993"/>
      <c r="S84" s="1000"/>
      <c r="T84" s="1000">
        <v>314810.84</v>
      </c>
      <c r="U84" s="429">
        <f t="shared" si="9"/>
        <v>-6.474020000000019</v>
      </c>
      <c r="V84" s="435">
        <f t="shared" si="10"/>
        <v>-0.020564793766313823</v>
      </c>
      <c r="W84" s="610">
        <f t="shared" si="11"/>
        <v>2.324630000000005</v>
      </c>
      <c r="X84" s="613">
        <f t="shared" si="12"/>
        <v>0.007596527445524326</v>
      </c>
    </row>
    <row r="85" spans="1:24" ht="11.25">
      <c r="A85" s="19">
        <v>551201</v>
      </c>
      <c r="B85" s="209" t="s">
        <v>815</v>
      </c>
      <c r="C85" s="91"/>
      <c r="D85" s="566">
        <f>VLOOKUP(A85,TB!$A:$E,5,FALSE)</f>
        <v>0</v>
      </c>
      <c r="E85" s="564"/>
      <c r="F85" s="446"/>
      <c r="G85" s="465"/>
      <c r="H85" s="468"/>
      <c r="I85" s="151"/>
      <c r="J85" s="444"/>
      <c r="K85" s="552"/>
      <c r="L85" s="462"/>
      <c r="M85" s="545"/>
      <c r="N85" s="447">
        <f t="shared" si="7"/>
        <v>0</v>
      </c>
      <c r="O85" s="444">
        <f t="shared" si="8"/>
        <v>0</v>
      </c>
      <c r="P85" s="445">
        <v>0</v>
      </c>
      <c r="Q85" s="553"/>
      <c r="R85" s="993"/>
      <c r="S85" s="1000"/>
      <c r="T85" s="1000">
        <v>0</v>
      </c>
      <c r="U85" s="429">
        <f t="shared" si="9"/>
        <v>0</v>
      </c>
      <c r="V85" s="435" t="e">
        <f t="shared" si="10"/>
        <v>#DIV/0!</v>
      </c>
      <c r="W85" s="610">
        <f t="shared" si="11"/>
        <v>0</v>
      </c>
      <c r="X85" s="613" t="e">
        <f t="shared" si="12"/>
        <v>#DIV/0!</v>
      </c>
    </row>
    <row r="86" spans="1:24" ht="11.25">
      <c r="A86" s="19">
        <v>551181</v>
      </c>
      <c r="B86" s="209" t="s">
        <v>816</v>
      </c>
      <c r="C86" s="91"/>
      <c r="D86" s="566">
        <f>VLOOKUP(A86,TB!$A:$E,5,FALSE)</f>
        <v>270849.57999999996</v>
      </c>
      <c r="E86" s="564"/>
      <c r="F86" s="446"/>
      <c r="G86" s="465"/>
      <c r="H86" s="468"/>
      <c r="I86" s="151"/>
      <c r="J86" s="444"/>
      <c r="K86" s="552"/>
      <c r="L86" s="462"/>
      <c r="M86" s="545"/>
      <c r="N86" s="447">
        <f t="shared" si="7"/>
        <v>270849.57999999996</v>
      </c>
      <c r="O86" s="444">
        <f>J86-L86+M86</f>
        <v>0</v>
      </c>
      <c r="P86" s="445">
        <v>248761.95</v>
      </c>
      <c r="Q86" s="553"/>
      <c r="R86" s="993"/>
      <c r="S86" s="1000"/>
      <c r="T86" s="1000">
        <v>236587.91</v>
      </c>
      <c r="U86" s="429">
        <f>(N86-T86)/1000</f>
        <v>34.26166999999995</v>
      </c>
      <c r="V86" s="435">
        <f>U86/T86*1000</f>
        <v>0.1448158107487401</v>
      </c>
      <c r="W86" s="610">
        <f>(D86-P86)/1000</f>
        <v>22.087629999999947</v>
      </c>
      <c r="X86" s="613">
        <f>W86/P86*1000</f>
        <v>0.0887902269619608</v>
      </c>
    </row>
    <row r="87" spans="1:24" s="1" customFormat="1" ht="11.25">
      <c r="A87" s="229">
        <v>551150</v>
      </c>
      <c r="B87" s="276" t="s">
        <v>849</v>
      </c>
      <c r="C87" s="188"/>
      <c r="D87" s="566"/>
      <c r="E87" s="587"/>
      <c r="F87" s="587"/>
      <c r="G87" s="277"/>
      <c r="H87" s="277"/>
      <c r="I87" s="151"/>
      <c r="J87" s="444"/>
      <c r="K87" s="443"/>
      <c r="L87" s="443"/>
      <c r="M87" s="443"/>
      <c r="N87" s="447">
        <f t="shared" si="7"/>
        <v>0</v>
      </c>
      <c r="O87" s="444">
        <f>J87-L87+M87</f>
        <v>0</v>
      </c>
      <c r="P87" s="445">
        <v>0</v>
      </c>
      <c r="Q87" s="379"/>
      <c r="R87" s="994"/>
      <c r="S87" s="124"/>
      <c r="T87" s="124">
        <v>55704.1</v>
      </c>
      <c r="U87" s="429">
        <f t="shared" si="9"/>
        <v>-55.7041</v>
      </c>
      <c r="V87" s="435">
        <f t="shared" si="10"/>
        <v>-1</v>
      </c>
      <c r="W87" s="610">
        <f t="shared" si="11"/>
        <v>0</v>
      </c>
      <c r="X87" s="613">
        <v>1</v>
      </c>
    </row>
    <row r="88" spans="1:24" ht="11.25">
      <c r="A88" s="19">
        <v>551183</v>
      </c>
      <c r="B88" s="209" t="s">
        <v>817</v>
      </c>
      <c r="C88" s="91"/>
      <c r="D88" s="566">
        <f>VLOOKUP(A88,TB!$A:$E,5,FALSE)</f>
        <v>0</v>
      </c>
      <c r="E88" s="564"/>
      <c r="F88" s="446"/>
      <c r="G88" s="465"/>
      <c r="H88" s="468"/>
      <c r="I88" s="151"/>
      <c r="J88" s="444"/>
      <c r="K88" s="552"/>
      <c r="L88" s="462"/>
      <c r="M88" s="545"/>
      <c r="N88" s="447">
        <f t="shared" si="7"/>
        <v>0</v>
      </c>
      <c r="O88" s="444">
        <f t="shared" si="8"/>
        <v>0</v>
      </c>
      <c r="P88" s="445">
        <v>0</v>
      </c>
      <c r="Q88" s="553"/>
      <c r="R88" s="993"/>
      <c r="S88" s="1000"/>
      <c r="T88" s="1000">
        <v>0</v>
      </c>
      <c r="U88" s="429">
        <f t="shared" si="9"/>
        <v>0</v>
      </c>
      <c r="V88" s="435"/>
      <c r="W88" s="610">
        <f t="shared" si="11"/>
        <v>0</v>
      </c>
      <c r="X88" s="613" t="e">
        <f t="shared" si="12"/>
        <v>#DIV/0!</v>
      </c>
    </row>
    <row r="89" spans="1:24" ht="11.25">
      <c r="A89" s="661">
        <v>551184</v>
      </c>
      <c r="B89" s="209" t="s">
        <v>741</v>
      </c>
      <c r="C89" s="91"/>
      <c r="D89" s="566">
        <f>VLOOKUP(A89,TB!$A:$E,5,FALSE)</f>
        <v>65997.75</v>
      </c>
      <c r="E89" s="564"/>
      <c r="F89" s="446"/>
      <c r="G89" s="465"/>
      <c r="H89" s="468"/>
      <c r="I89" s="151"/>
      <c r="J89" s="444"/>
      <c r="K89" s="552"/>
      <c r="L89" s="462"/>
      <c r="M89" s="545"/>
      <c r="N89" s="447">
        <f t="shared" si="7"/>
        <v>65997.75</v>
      </c>
      <c r="O89" s="444">
        <f t="shared" si="8"/>
        <v>0</v>
      </c>
      <c r="P89" s="445">
        <v>258466.09</v>
      </c>
      <c r="Q89" s="553"/>
      <c r="R89" s="993"/>
      <c r="S89" s="1000"/>
      <c r="T89" s="1000">
        <v>65997.75</v>
      </c>
      <c r="U89" s="429">
        <f t="shared" si="9"/>
        <v>0</v>
      </c>
      <c r="V89" s="435">
        <f t="shared" si="10"/>
        <v>0</v>
      </c>
      <c r="W89" s="610">
        <f t="shared" si="11"/>
        <v>-192.46833999999998</v>
      </c>
      <c r="X89" s="613">
        <v>1</v>
      </c>
    </row>
    <row r="90" spans="1:24" s="414" customFormat="1" ht="11.25">
      <c r="A90" s="411"/>
      <c r="B90" s="412" t="s">
        <v>950</v>
      </c>
      <c r="C90" s="413"/>
      <c r="D90" s="567"/>
      <c r="E90" s="568"/>
      <c r="F90" s="446"/>
      <c r="G90" s="662"/>
      <c r="H90" s="554"/>
      <c r="I90" s="151"/>
      <c r="J90" s="444"/>
      <c r="K90" s="715"/>
      <c r="L90" s="556"/>
      <c r="M90" s="555"/>
      <c r="N90" s="447">
        <f t="shared" si="7"/>
        <v>0</v>
      </c>
      <c r="O90" s="444">
        <f>J90-L90+M90</f>
        <v>0</v>
      </c>
      <c r="P90" s="989">
        <v>0</v>
      </c>
      <c r="Q90" s="989"/>
      <c r="R90" s="995"/>
      <c r="S90" s="1003"/>
      <c r="T90" s="1003"/>
      <c r="U90" s="429">
        <f t="shared" si="9"/>
        <v>0</v>
      </c>
      <c r="V90" s="435"/>
      <c r="W90" s="610">
        <f t="shared" si="11"/>
        <v>0</v>
      </c>
      <c r="X90" s="613"/>
    </row>
    <row r="91" spans="1:24" s="414" customFormat="1" ht="11.25">
      <c r="A91" s="411"/>
      <c r="B91" s="412" t="s">
        <v>10</v>
      </c>
      <c r="C91" s="413"/>
      <c r="D91" s="567"/>
      <c r="E91" s="568"/>
      <c r="F91" s="446"/>
      <c r="G91" s="554"/>
      <c r="H91" s="554"/>
      <c r="I91" s="151"/>
      <c r="J91" s="444"/>
      <c r="K91" s="715"/>
      <c r="L91" s="556"/>
      <c r="M91" s="555"/>
      <c r="N91" s="447">
        <f>D91+L91-M91</f>
        <v>0</v>
      </c>
      <c r="O91" s="444">
        <f>J91-L91+M91</f>
        <v>0</v>
      </c>
      <c r="P91" s="989">
        <v>0</v>
      </c>
      <c r="Q91" s="989"/>
      <c r="R91" s="995"/>
      <c r="S91" s="1003"/>
      <c r="T91" s="1003"/>
      <c r="U91" s="429">
        <f t="shared" si="9"/>
        <v>0</v>
      </c>
      <c r="V91" s="435"/>
      <c r="W91" s="610">
        <f t="shared" si="11"/>
        <v>0</v>
      </c>
      <c r="X91" s="613"/>
    </row>
    <row r="92" spans="1:24" ht="11.25">
      <c r="A92" s="221"/>
      <c r="B92" s="412" t="s">
        <v>999</v>
      </c>
      <c r="C92" s="91"/>
      <c r="D92" s="569">
        <f>'[11]PL'!$M$183</f>
        <v>57683.06</v>
      </c>
      <c r="E92" s="570"/>
      <c r="F92" s="456"/>
      <c r="G92" s="468"/>
      <c r="H92" s="468"/>
      <c r="I92" s="333"/>
      <c r="J92" s="468"/>
      <c r="K92" s="557"/>
      <c r="L92" s="463"/>
      <c r="M92" s="545"/>
      <c r="N92" s="447">
        <f>D92+L92-M92</f>
        <v>57683.06</v>
      </c>
      <c r="O92" s="942">
        <f aca="true" t="shared" si="13" ref="O92:O101">J92-L92+M92</f>
        <v>0</v>
      </c>
      <c r="P92" s="445">
        <v>54493</v>
      </c>
      <c r="Q92" s="445"/>
      <c r="R92" s="996"/>
      <c r="S92" s="999"/>
      <c r="T92" s="999"/>
      <c r="U92" s="429"/>
      <c r="V92" s="435"/>
      <c r="W92" s="610"/>
      <c r="X92" s="613"/>
    </row>
    <row r="93" spans="1:24" s="242" customFormat="1" ht="11.25">
      <c r="A93" s="240"/>
      <c r="B93" s="237" t="s">
        <v>837</v>
      </c>
      <c r="C93" s="87"/>
      <c r="D93" s="571">
        <f>SUM(D22:D92)</f>
        <v>25004041.35653999</v>
      </c>
      <c r="E93" s="571">
        <f aca="true" t="shared" si="14" ref="E93:J93">SUM(E22:E92)</f>
        <v>0</v>
      </c>
      <c r="F93" s="571">
        <f>SUM(F22:F92)</f>
        <v>0</v>
      </c>
      <c r="G93" s="571">
        <f>SUM(G22:G92)</f>
        <v>0</v>
      </c>
      <c r="H93" s="571">
        <f>SUM(H22:H92)</f>
        <v>0</v>
      </c>
      <c r="I93" s="914" t="e">
        <f t="shared" si="14"/>
        <v>#REF!</v>
      </c>
      <c r="J93" s="576" t="e">
        <f t="shared" si="14"/>
        <v>#REF!</v>
      </c>
      <c r="K93" s="576"/>
      <c r="L93" s="576">
        <f>SUM(L22:L91)</f>
        <v>0</v>
      </c>
      <c r="M93" s="576">
        <f>SUM(M22:M92)</f>
        <v>0</v>
      </c>
      <c r="N93" s="571">
        <f>SUM(N22:N92)</f>
        <v>25004041.35653999</v>
      </c>
      <c r="O93" s="752" t="e">
        <f t="shared" si="13"/>
        <v>#REF!</v>
      </c>
      <c r="P93" s="548">
        <v>19972813.38</v>
      </c>
      <c r="Q93" s="548">
        <f>SUM(Q22:Q92)</f>
        <v>0</v>
      </c>
      <c r="R93" s="992">
        <f>SUM(R22:R92)</f>
        <v>0</v>
      </c>
      <c r="S93" s="1001">
        <f>SUM(S22:S92)</f>
        <v>0</v>
      </c>
      <c r="T93" s="1087">
        <f>SUM(T22:T92)</f>
        <v>18532264.909999996</v>
      </c>
      <c r="U93" s="430">
        <f>(N93-T93)/1000</f>
        <v>6471.776446539994</v>
      </c>
      <c r="V93" s="436">
        <f>U93/T93*1000</f>
        <v>0.3492167027597274</v>
      </c>
      <c r="W93" s="979">
        <f>(D93-P93)/1000</f>
        <v>5031.227976539992</v>
      </c>
      <c r="X93" s="978">
        <f>W93/P93*1000</f>
        <v>0.25190381949786145</v>
      </c>
    </row>
    <row r="94" spans="1:24" ht="11.25">
      <c r="A94" s="239"/>
      <c r="B94" s="443"/>
      <c r="C94" s="91"/>
      <c r="D94" s="456"/>
      <c r="E94" s="456"/>
      <c r="F94" s="456"/>
      <c r="G94" s="456"/>
      <c r="H94" s="456"/>
      <c r="I94" s="333"/>
      <c r="J94" s="468"/>
      <c r="K94" s="558"/>
      <c r="L94" s="463"/>
      <c r="M94" s="545"/>
      <c r="N94" s="456"/>
      <c r="O94" s="444">
        <f t="shared" si="13"/>
        <v>0</v>
      </c>
      <c r="P94" s="445"/>
      <c r="Q94" s="445"/>
      <c r="R94" s="996"/>
      <c r="S94" s="1004"/>
      <c r="T94" s="1004"/>
      <c r="U94" s="429"/>
      <c r="V94" s="435"/>
      <c r="W94" s="610"/>
      <c r="X94" s="613"/>
    </row>
    <row r="95" spans="1:24" s="242" customFormat="1" ht="11.25">
      <c r="A95" s="240"/>
      <c r="B95" s="241"/>
      <c r="C95" s="87"/>
      <c r="D95" s="572">
        <f>D18+D93</f>
        <v>41519090.246539995</v>
      </c>
      <c r="E95" s="572">
        <f>E93+E18</f>
        <v>0</v>
      </c>
      <c r="F95" s="572">
        <f>F93+F18</f>
        <v>0</v>
      </c>
      <c r="G95" s="572">
        <f>G93+G18</f>
        <v>0</v>
      </c>
      <c r="H95" s="572">
        <f>H93+H18</f>
        <v>0</v>
      </c>
      <c r="I95" s="915" t="e">
        <f>SUM(I93,I18)</f>
        <v>#REF!</v>
      </c>
      <c r="J95" s="559" t="e">
        <f>SUM(J93,J18)</f>
        <v>#REF!</v>
      </c>
      <c r="K95" s="559"/>
      <c r="L95" s="559">
        <f>L18+L93</f>
        <v>0</v>
      </c>
      <c r="M95" s="559">
        <f>M18+M93</f>
        <v>0</v>
      </c>
      <c r="N95" s="572">
        <f>N18+N93</f>
        <v>41519090.246539995</v>
      </c>
      <c r="O95" s="857" t="e">
        <f t="shared" si="13"/>
        <v>#REF!</v>
      </c>
      <c r="P95" s="560">
        <v>31279569.54</v>
      </c>
      <c r="Q95" s="560">
        <f>Q18+Q93</f>
        <v>0</v>
      </c>
      <c r="R95" s="997">
        <f>R18+R93</f>
        <v>0</v>
      </c>
      <c r="S95" s="1005">
        <f>S18+S93</f>
        <v>0</v>
      </c>
      <c r="T95" s="1088">
        <f>T18+T93</f>
        <v>34764146.58</v>
      </c>
      <c r="U95" s="430">
        <f>(N95-T95)/1000</f>
        <v>6754.943666539997</v>
      </c>
      <c r="V95" s="436">
        <f>U95/T95*1000</f>
        <v>0.19430776622102244</v>
      </c>
      <c r="W95" s="979">
        <f>(D95-P95)/1000</f>
        <v>10239.520706539995</v>
      </c>
      <c r="X95" s="978">
        <f>W95/P95*1000</f>
        <v>0.32735491111684895</v>
      </c>
    </row>
    <row r="96" spans="1:24" ht="11.25">
      <c r="A96" s="225"/>
      <c r="B96" s="43"/>
      <c r="C96" s="91"/>
      <c r="D96" s="456"/>
      <c r="E96" s="440"/>
      <c r="F96" s="440"/>
      <c r="G96" s="440"/>
      <c r="H96" s="440"/>
      <c r="I96" s="333"/>
      <c r="J96" s="441"/>
      <c r="K96" s="471"/>
      <c r="L96" s="442"/>
      <c r="M96" s="549"/>
      <c r="N96" s="456"/>
      <c r="O96" s="444"/>
      <c r="P96" s="445"/>
      <c r="Q96" s="464"/>
      <c r="R96" s="475"/>
      <c r="S96" s="124"/>
      <c r="T96" s="475"/>
      <c r="U96" s="429"/>
      <c r="V96" s="435"/>
      <c r="W96" s="610"/>
      <c r="X96" s="613"/>
    </row>
    <row r="97" spans="1:24" ht="11.25">
      <c r="A97" s="225">
        <v>551100</v>
      </c>
      <c r="B97" s="209" t="s">
        <v>281</v>
      </c>
      <c r="C97" s="91"/>
      <c r="D97" s="566"/>
      <c r="E97" s="456"/>
      <c r="F97" s="456"/>
      <c r="G97" s="456"/>
      <c r="H97" s="456"/>
      <c r="I97" s="151"/>
      <c r="J97" s="444"/>
      <c r="K97" s="936"/>
      <c r="L97" s="463"/>
      <c r="M97" s="545"/>
      <c r="N97" s="447">
        <f>D97+L97-M97</f>
        <v>0</v>
      </c>
      <c r="O97" s="444">
        <f t="shared" si="13"/>
        <v>0</v>
      </c>
      <c r="P97" s="445"/>
      <c r="Q97" s="464"/>
      <c r="R97" s="475"/>
      <c r="S97" s="124"/>
      <c r="T97" s="1000"/>
      <c r="U97" s="429">
        <f>(N97-T97)/1000</f>
        <v>0</v>
      </c>
      <c r="V97" s="435"/>
      <c r="W97" s="610">
        <f>(D97-P97)/1000</f>
        <v>0</v>
      </c>
      <c r="X97" s="613"/>
    </row>
    <row r="98" spans="1:24" ht="11.25">
      <c r="A98" s="225">
        <v>551190</v>
      </c>
      <c r="B98" s="209" t="s">
        <v>839</v>
      </c>
      <c r="C98" s="91"/>
      <c r="D98" s="566">
        <f>VLOOKUP(A98,TB!$A:$E,5,FALSE)</f>
        <v>-386414.97</v>
      </c>
      <c r="E98" s="573"/>
      <c r="F98" s="573"/>
      <c r="G98" s="573"/>
      <c r="H98" s="573"/>
      <c r="I98" s="151"/>
      <c r="J98" s="444"/>
      <c r="K98" s="472"/>
      <c r="L98" s="463"/>
      <c r="M98" s="545"/>
      <c r="N98" s="447">
        <f>D98+L98-M98</f>
        <v>-386414.97</v>
      </c>
      <c r="O98" s="444">
        <f t="shared" si="13"/>
        <v>0</v>
      </c>
      <c r="P98" s="445">
        <v>387854.75</v>
      </c>
      <c r="Q98" s="464"/>
      <c r="R98" s="475"/>
      <c r="S98" s="124"/>
      <c r="T98" s="1000">
        <v>1852346.8</v>
      </c>
      <c r="U98" s="429">
        <f>(N98-T98)/1000</f>
        <v>-2238.76177</v>
      </c>
      <c r="V98" s="435"/>
      <c r="W98" s="610">
        <f>(D98-P98)/1000</f>
        <v>-774.26972</v>
      </c>
      <c r="X98" s="613"/>
    </row>
    <row r="99" spans="1:24" ht="12" customHeight="1">
      <c r="A99" s="227"/>
      <c r="B99" s="43"/>
      <c r="C99" s="91"/>
      <c r="D99" s="456"/>
      <c r="E99" s="440"/>
      <c r="F99" s="440"/>
      <c r="G99" s="440"/>
      <c r="H99" s="440"/>
      <c r="I99" s="333"/>
      <c r="J99" s="441"/>
      <c r="K99" s="471"/>
      <c r="L99" s="443"/>
      <c r="M99" s="527"/>
      <c r="N99" s="456"/>
      <c r="O99" s="444">
        <f t="shared" si="13"/>
        <v>0</v>
      </c>
      <c r="P99" s="445"/>
      <c r="Q99" s="445"/>
      <c r="R99" s="996"/>
      <c r="S99" s="1004"/>
      <c r="T99" s="475"/>
      <c r="U99" s="429"/>
      <c r="V99" s="435"/>
      <c r="W99" s="610"/>
      <c r="X99" s="613"/>
    </row>
    <row r="100" spans="1:24" ht="11.25">
      <c r="A100" s="243"/>
      <c r="B100" s="86"/>
      <c r="C100" s="91"/>
      <c r="D100" s="456"/>
      <c r="E100" s="440"/>
      <c r="F100" s="440"/>
      <c r="G100" s="440"/>
      <c r="H100" s="440"/>
      <c r="I100" s="333"/>
      <c r="J100" s="441"/>
      <c r="K100" s="471"/>
      <c r="L100" s="443"/>
      <c r="M100" s="527"/>
      <c r="N100" s="456"/>
      <c r="O100" s="444">
        <f t="shared" si="13"/>
        <v>0</v>
      </c>
      <c r="P100" s="445"/>
      <c r="Q100" s="445"/>
      <c r="R100" s="996"/>
      <c r="S100" s="1004"/>
      <c r="T100" s="475"/>
      <c r="U100" s="429"/>
      <c r="V100" s="435"/>
      <c r="W100" s="610"/>
      <c r="X100" s="613"/>
    </row>
    <row r="101" spans="1:24" s="3" customFormat="1" ht="11.25">
      <c r="A101" s="577"/>
      <c r="B101" s="578" t="s">
        <v>840</v>
      </c>
      <c r="C101" s="192"/>
      <c r="D101" s="579">
        <f>D95+D97+D98</f>
        <v>41132675.276539996</v>
      </c>
      <c r="E101" s="579">
        <f>SUM(E95:E100)</f>
        <v>0</v>
      </c>
      <c r="F101" s="579">
        <f>SUM(F95:F100)</f>
        <v>0</v>
      </c>
      <c r="G101" s="579">
        <f>SUM(G95:G100)</f>
        <v>0</v>
      </c>
      <c r="H101" s="579">
        <f>SUM(H95:H100)</f>
        <v>0</v>
      </c>
      <c r="I101" s="295" t="e">
        <f>SUM(I95:I99)</f>
        <v>#REF!</v>
      </c>
      <c r="J101" s="459" t="e">
        <f>SUM(J95:J98)</f>
        <v>#REF!</v>
      </c>
      <c r="K101" s="580"/>
      <c r="L101" s="459">
        <f>SUM(L95:L100)</f>
        <v>0</v>
      </c>
      <c r="M101" s="459">
        <f>SUM(M95:M100)</f>
        <v>0</v>
      </c>
      <c r="N101" s="579">
        <f>N95+N97+N98</f>
        <v>41132675.276539996</v>
      </c>
      <c r="O101" s="669" t="e">
        <f t="shared" si="13"/>
        <v>#REF!</v>
      </c>
      <c r="P101" s="1089">
        <v>31667424.29</v>
      </c>
      <c r="Q101" s="461">
        <v>67103022.26000001</v>
      </c>
      <c r="R101" s="998">
        <v>104770073.45000002</v>
      </c>
      <c r="S101" s="1006">
        <v>140519571.12</v>
      </c>
      <c r="T101" s="1089">
        <f>T95+T97+T98</f>
        <v>36616493.379999995</v>
      </c>
      <c r="U101" s="430">
        <f>(N101-T101)/1000</f>
        <v>4516.181896540001</v>
      </c>
      <c r="V101" s="436">
        <f>U101/T101*1000</f>
        <v>0.12333736738993004</v>
      </c>
      <c r="W101" s="979">
        <f>(D101-P101)/1000</f>
        <v>9465.250986539997</v>
      </c>
      <c r="X101" s="978">
        <f>W101/P101*1000</f>
        <v>0.29889551167345657</v>
      </c>
    </row>
    <row r="102" spans="1:20" ht="11.25">
      <c r="A102" s="50"/>
      <c r="B102" s="104"/>
      <c r="C102" s="104"/>
      <c r="D102" s="428"/>
      <c r="E102" s="428"/>
      <c r="F102" s="428"/>
      <c r="G102" s="104"/>
      <c r="H102" s="104"/>
      <c r="I102" s="916"/>
      <c r="J102" s="104"/>
      <c r="P102" s="291" t="s">
        <v>1140</v>
      </c>
      <c r="Q102" s="990"/>
      <c r="R102" s="104"/>
      <c r="S102" s="1007"/>
      <c r="T102" s="1201">
        <f>T101-'Control PL'!T18</f>
        <v>693999.1700000018</v>
      </c>
    </row>
    <row r="103" spans="1:8" ht="11.25">
      <c r="A103" s="1" t="s">
        <v>1141</v>
      </c>
      <c r="F103" s="416" t="s">
        <v>1001</v>
      </c>
      <c r="G103" s="196">
        <v>110874968.45000002</v>
      </c>
      <c r="H103" s="196">
        <v>45860152.129999995</v>
      </c>
    </row>
    <row r="104" spans="1:8" ht="11.25">
      <c r="A104" s="1" t="s">
        <v>1207</v>
      </c>
      <c r="G104" s="521">
        <f>G101-G103</f>
        <v>-110874968.45000002</v>
      </c>
      <c r="H104" s="196">
        <f>H101-H103</f>
        <v>-45860152.129999995</v>
      </c>
    </row>
    <row r="105" spans="1:8" ht="11.25">
      <c r="A105" s="91"/>
      <c r="H105" s="196">
        <f>-'6200'!H13</f>
        <v>0</v>
      </c>
    </row>
    <row r="106" spans="1:8" ht="11.25">
      <c r="A106" s="91"/>
      <c r="H106" s="663">
        <f>SUM(H104:H105)</f>
        <v>-45860152.129999995</v>
      </c>
    </row>
    <row r="107" ht="11.25">
      <c r="A107" s="91"/>
    </row>
    <row r="108" ht="11.25">
      <c r="A108" s="91"/>
    </row>
    <row r="109" ht="11.25">
      <c r="A109" s="91"/>
    </row>
    <row r="110" ht="11.25">
      <c r="A110" s="91"/>
    </row>
    <row r="111" ht="11.25">
      <c r="A111" s="91"/>
    </row>
    <row r="112" ht="11.25">
      <c r="A112" s="91"/>
    </row>
    <row r="113" ht="11.25">
      <c r="A113" s="91"/>
    </row>
  </sheetData>
  <mergeCells count="11">
    <mergeCell ref="W4:X4"/>
    <mergeCell ref="U4:V4"/>
    <mergeCell ref="W2:X2"/>
    <mergeCell ref="W3:X3"/>
    <mergeCell ref="U2:V2"/>
    <mergeCell ref="U3:V3"/>
    <mergeCell ref="E2:F2"/>
    <mergeCell ref="K3:M3"/>
    <mergeCell ref="K2:M2"/>
    <mergeCell ref="I2:J2"/>
    <mergeCell ref="G2:H2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20"/>
  <sheetViews>
    <sheetView workbookViewId="0" topLeftCell="A1">
      <pane xSplit="2" ySplit="5" topLeftCell="C6" activePane="bottomRight" state="frozen"/>
      <selection pane="topLeft" activeCell="G30" sqref="G30"/>
      <selection pane="topRight" activeCell="G30" sqref="G30"/>
      <selection pane="bottomLeft" activeCell="G30" sqref="G30"/>
      <selection pane="bottomRight" activeCell="G30" sqref="G30"/>
    </sheetView>
  </sheetViews>
  <sheetFormatPr defaultColWidth="9.140625" defaultRowHeight="21.75"/>
  <cols>
    <col min="1" max="1" width="12.28125" style="1" customWidth="1"/>
    <col min="2" max="2" width="26.421875" style="1" bestFit="1" customWidth="1"/>
    <col min="3" max="3" width="3.57421875" style="1" bestFit="1" customWidth="1"/>
    <col min="4" max="4" width="10.421875" style="581" customWidth="1"/>
    <col min="5" max="6" width="9.8515625" style="581" hidden="1" customWidth="1"/>
    <col min="7" max="10" width="9.8515625" style="1" hidden="1" customWidth="1"/>
    <col min="11" max="11" width="7.140625" style="161" customWidth="1"/>
    <col min="12" max="13" width="7.57421875" style="161" customWidth="1"/>
    <col min="14" max="14" width="10.421875" style="161" bestFit="1" customWidth="1"/>
    <col min="15" max="15" width="9.8515625" style="161" hidden="1" customWidth="1"/>
    <col min="16" max="16" width="10.421875" style="1" customWidth="1"/>
    <col min="17" max="18" width="9.8515625" style="1" hidden="1" customWidth="1"/>
    <col min="19" max="19" width="9.8515625" style="266" hidden="1" customWidth="1"/>
    <col min="20" max="20" width="9.8515625" style="266" customWidth="1"/>
    <col min="21" max="21" width="6.57421875" style="1" bestFit="1" customWidth="1"/>
    <col min="22" max="22" width="5.8515625" style="1" customWidth="1"/>
    <col min="23" max="23" width="5.28125" style="1" bestFit="1" customWidth="1"/>
    <col min="24" max="24" width="6.140625" style="1" bestFit="1" customWidth="1"/>
    <col min="25" max="16384" width="9.140625" style="1" customWidth="1"/>
  </cols>
  <sheetData>
    <row r="1" spans="1:18" ht="11.25">
      <c r="A1" s="8" t="s">
        <v>485</v>
      </c>
      <c r="B1" s="8"/>
      <c r="C1" s="8"/>
      <c r="G1" s="8"/>
      <c r="H1" s="8"/>
      <c r="I1" s="8"/>
      <c r="J1" s="8"/>
      <c r="P1" s="8"/>
      <c r="Q1" s="8"/>
      <c r="R1" s="8"/>
    </row>
    <row r="2" spans="1:24" ht="20.25" customHeight="1">
      <c r="A2" s="56"/>
      <c r="B2" s="163"/>
      <c r="C2" s="56"/>
      <c r="D2" s="1069" t="str">
        <f>'6000'!D3</f>
        <v>Quarter 1'08</v>
      </c>
      <c r="E2" s="1713" t="s">
        <v>956</v>
      </c>
      <c r="F2" s="1714"/>
      <c r="G2" s="1715" t="s">
        <v>957</v>
      </c>
      <c r="H2" s="1716"/>
      <c r="I2" s="1715" t="s">
        <v>958</v>
      </c>
      <c r="J2" s="1716"/>
      <c r="K2" s="1690" t="s">
        <v>486</v>
      </c>
      <c r="L2" s="477"/>
      <c r="M2" s="285"/>
      <c r="N2" s="1069" t="str">
        <f>'6000'!H3</f>
        <v>Quarter 1'08</v>
      </c>
      <c r="O2" s="1035"/>
      <c r="P2" s="1037" t="s">
        <v>927</v>
      </c>
      <c r="Q2" s="65" t="s">
        <v>927</v>
      </c>
      <c r="R2" s="65" t="s">
        <v>927</v>
      </c>
      <c r="S2" s="1036" t="s">
        <v>252</v>
      </c>
      <c r="T2" s="65" t="s">
        <v>927</v>
      </c>
      <c r="U2" s="1686" t="s">
        <v>487</v>
      </c>
      <c r="V2" s="1687"/>
      <c r="W2" s="1686" t="s">
        <v>487</v>
      </c>
      <c r="X2" s="1687"/>
    </row>
    <row r="3" spans="1:24" ht="19.5" customHeight="1">
      <c r="A3" s="57" t="s">
        <v>488</v>
      </c>
      <c r="B3" s="165"/>
      <c r="C3" s="57"/>
      <c r="D3" s="1067">
        <f>'6300'!D3</f>
        <v>39538</v>
      </c>
      <c r="E3" s="425">
        <v>38898</v>
      </c>
      <c r="F3" s="605">
        <v>38898</v>
      </c>
      <c r="G3" s="69">
        <v>38990</v>
      </c>
      <c r="H3" s="70">
        <v>38990</v>
      </c>
      <c r="I3" s="69">
        <v>39082</v>
      </c>
      <c r="J3" s="70">
        <v>39082</v>
      </c>
      <c r="K3" s="1692" t="s">
        <v>489</v>
      </c>
      <c r="L3" s="1500"/>
      <c r="M3" s="1501"/>
      <c r="N3" s="1067">
        <f>'6300'!N3</f>
        <v>39538</v>
      </c>
      <c r="O3" s="70">
        <v>39082</v>
      </c>
      <c r="P3" s="1038">
        <f>'6300'!P3</f>
        <v>39172</v>
      </c>
      <c r="Q3" s="71">
        <v>38533</v>
      </c>
      <c r="R3" s="71">
        <v>38625</v>
      </c>
      <c r="S3" s="480">
        <v>38717</v>
      </c>
      <c r="T3" s="480">
        <f>'6300'!T3</f>
        <v>39447</v>
      </c>
      <c r="U3" s="1694">
        <f>'6300'!U3</f>
        <v>39447</v>
      </c>
      <c r="V3" s="1695">
        <f>'6300'!V3</f>
        <v>0</v>
      </c>
      <c r="W3" s="1721">
        <f>'6300'!W3</f>
        <v>39172</v>
      </c>
      <c r="X3" s="1722">
        <f>'6300'!X3</f>
        <v>0</v>
      </c>
    </row>
    <row r="4" spans="1:24" ht="21.75">
      <c r="A4" s="58" t="s">
        <v>491</v>
      </c>
      <c r="B4" s="167" t="s">
        <v>492</v>
      </c>
      <c r="C4" s="58" t="s">
        <v>493</v>
      </c>
      <c r="D4" s="1070" t="s">
        <v>869</v>
      </c>
      <c r="E4" s="583" t="s">
        <v>932</v>
      </c>
      <c r="F4" s="583" t="s">
        <v>869</v>
      </c>
      <c r="G4" s="69" t="s">
        <v>933</v>
      </c>
      <c r="H4" s="69" t="s">
        <v>869</v>
      </c>
      <c r="I4" s="69" t="s">
        <v>885</v>
      </c>
      <c r="J4" s="69" t="s">
        <v>869</v>
      </c>
      <c r="K4" s="168" t="s">
        <v>494</v>
      </c>
      <c r="L4" s="169" t="s">
        <v>495</v>
      </c>
      <c r="M4" s="170" t="s">
        <v>496</v>
      </c>
      <c r="N4" s="1070" t="s">
        <v>869</v>
      </c>
      <c r="O4" s="69" t="s">
        <v>869</v>
      </c>
      <c r="P4" s="480" t="s">
        <v>869</v>
      </c>
      <c r="Q4" s="480" t="s">
        <v>932</v>
      </c>
      <c r="R4" s="79" t="s">
        <v>933</v>
      </c>
      <c r="S4" s="480" t="s">
        <v>885</v>
      </c>
      <c r="T4" s="480" t="s">
        <v>869</v>
      </c>
      <c r="U4" s="1685" t="s">
        <v>869</v>
      </c>
      <c r="V4" s="1711"/>
      <c r="W4" s="1717" t="s">
        <v>869</v>
      </c>
      <c r="X4" s="1718"/>
    </row>
    <row r="5" spans="1:24" ht="11.25">
      <c r="A5" s="171"/>
      <c r="B5" s="135"/>
      <c r="C5" s="135"/>
      <c r="D5" s="1058" t="s">
        <v>497</v>
      </c>
      <c r="E5" s="584" t="s">
        <v>497</v>
      </c>
      <c r="F5" s="584" t="s">
        <v>497</v>
      </c>
      <c r="G5" s="76" t="s">
        <v>497</v>
      </c>
      <c r="H5" s="76" t="s">
        <v>497</v>
      </c>
      <c r="I5" s="76" t="s">
        <v>497</v>
      </c>
      <c r="J5" s="76" t="s">
        <v>497</v>
      </c>
      <c r="K5" s="172" t="s">
        <v>498</v>
      </c>
      <c r="L5" s="170" t="s">
        <v>497</v>
      </c>
      <c r="M5" s="170" t="s">
        <v>497</v>
      </c>
      <c r="N5" s="1058" t="s">
        <v>497</v>
      </c>
      <c r="O5" s="76" t="s">
        <v>497</v>
      </c>
      <c r="P5" s="84" t="s">
        <v>497</v>
      </c>
      <c r="Q5" s="84" t="s">
        <v>497</v>
      </c>
      <c r="R5" s="84" t="s">
        <v>497</v>
      </c>
      <c r="S5" s="84" t="s">
        <v>497</v>
      </c>
      <c r="T5" s="84" t="s">
        <v>497</v>
      </c>
      <c r="U5" s="77" t="s">
        <v>499</v>
      </c>
      <c r="V5" s="297" t="s">
        <v>500</v>
      </c>
      <c r="W5" s="77" t="s">
        <v>499</v>
      </c>
      <c r="X5" s="80" t="s">
        <v>500</v>
      </c>
    </row>
    <row r="6" spans="1:24" ht="11.25">
      <c r="A6" s="182"/>
      <c r="B6" s="96"/>
      <c r="C6" s="97"/>
      <c r="D6" s="585"/>
      <c r="E6" s="585"/>
      <c r="F6" s="585"/>
      <c r="G6" s="97"/>
      <c r="H6" s="97"/>
      <c r="I6" s="97"/>
      <c r="J6" s="97"/>
      <c r="K6" s="177"/>
      <c r="L6" s="177"/>
      <c r="M6" s="267"/>
      <c r="N6" s="283"/>
      <c r="O6" s="283"/>
      <c r="P6" s="307"/>
      <c r="Q6" s="311"/>
      <c r="R6" s="312"/>
      <c r="S6" s="313"/>
      <c r="T6" s="313"/>
      <c r="U6" s="269"/>
      <c r="V6" s="270"/>
      <c r="W6" s="269"/>
      <c r="X6" s="270"/>
    </row>
    <row r="7" spans="1:24" ht="11.25">
      <c r="A7" s="271"/>
      <c r="B7" s="189"/>
      <c r="C7" s="188"/>
      <c r="D7" s="586"/>
      <c r="E7" s="586"/>
      <c r="F7" s="586"/>
      <c r="G7" s="188"/>
      <c r="H7" s="188"/>
      <c r="I7" s="188"/>
      <c r="J7" s="188"/>
      <c r="K7" s="177"/>
      <c r="L7" s="177"/>
      <c r="M7" s="267"/>
      <c r="N7" s="283"/>
      <c r="O7" s="283"/>
      <c r="P7" s="309"/>
      <c r="Q7" s="314"/>
      <c r="R7" s="315"/>
      <c r="S7" s="286"/>
      <c r="T7" s="286"/>
      <c r="U7" s="269"/>
      <c r="V7" s="272"/>
      <c r="W7" s="269"/>
      <c r="X7" s="272"/>
    </row>
    <row r="8" spans="1:24" ht="11.25">
      <c r="A8" s="271"/>
      <c r="B8" s="273" t="s">
        <v>841</v>
      </c>
      <c r="C8" s="188"/>
      <c r="D8" s="586"/>
      <c r="E8" s="586"/>
      <c r="F8" s="586"/>
      <c r="G8" s="188"/>
      <c r="H8" s="188"/>
      <c r="I8" s="188"/>
      <c r="J8" s="188"/>
      <c r="K8" s="128"/>
      <c r="L8" s="128"/>
      <c r="M8" s="274"/>
      <c r="N8" s="278"/>
      <c r="O8" s="278"/>
      <c r="P8" s="309"/>
      <c r="Q8" s="314"/>
      <c r="R8" s="315"/>
      <c r="S8" s="286"/>
      <c r="T8" s="286"/>
      <c r="U8" s="269"/>
      <c r="V8" s="272"/>
      <c r="W8" s="269"/>
      <c r="X8" s="272"/>
    </row>
    <row r="9" spans="1:24" ht="11.25">
      <c r="A9" s="181"/>
      <c r="B9" s="275"/>
      <c r="C9" s="188"/>
      <c r="D9" s="586"/>
      <c r="E9" s="586"/>
      <c r="F9" s="586"/>
      <c r="G9" s="188"/>
      <c r="H9" s="188"/>
      <c r="I9" s="188"/>
      <c r="J9" s="188"/>
      <c r="K9" s="128"/>
      <c r="L9" s="175"/>
      <c r="M9" s="228"/>
      <c r="N9" s="288"/>
      <c r="O9" s="288"/>
      <c r="P9" s="309"/>
      <c r="Q9" s="314"/>
      <c r="R9" s="315"/>
      <c r="S9" s="286"/>
      <c r="T9" s="286"/>
      <c r="U9" s="269"/>
      <c r="V9" s="272"/>
      <c r="W9" s="269"/>
      <c r="X9" s="272"/>
    </row>
    <row r="10" spans="1:24" ht="11.25">
      <c r="A10" s="229">
        <v>551170</v>
      </c>
      <c r="B10" s="276" t="s">
        <v>848</v>
      </c>
      <c r="C10" s="188"/>
      <c r="D10" s="1075">
        <f>VLOOKUP(A10,TB!$A:$E,5,FALSE)</f>
        <v>213812.7</v>
      </c>
      <c r="E10" s="1075" t="e">
        <f>VLOOKUP(B10,#REF!,5,FALSE)</f>
        <v>#REF!</v>
      </c>
      <c r="F10" s="1075" t="e">
        <f>VLOOKUP(C10,#REF!,5,FALSE)</f>
        <v>#REF!</v>
      </c>
      <c r="G10" s="1075" t="e">
        <f>VLOOKUP(D10,#REF!,5,FALSE)</f>
        <v>#REF!</v>
      </c>
      <c r="H10" s="1075" t="e">
        <f>VLOOKUP(E10,#REF!,5,FALSE)</f>
        <v>#REF!</v>
      </c>
      <c r="I10" s="1075" t="e">
        <f>VLOOKUP(F10,#REF!,5,FALSE)</f>
        <v>#REF!</v>
      </c>
      <c r="J10" s="1075" t="e">
        <f>VLOOKUP(G10,#REF!,5,FALSE)</f>
        <v>#REF!</v>
      </c>
      <c r="K10" s="443"/>
      <c r="L10" s="443"/>
      <c r="M10" s="443"/>
      <c r="N10" s="447">
        <f>D10-L10+M10</f>
        <v>213812.7</v>
      </c>
      <c r="O10" s="444" t="e">
        <f>J10-L10+M10</f>
        <v>#REF!</v>
      </c>
      <c r="P10" s="308">
        <v>206718.75</v>
      </c>
      <c r="Q10" s="379"/>
      <c r="R10" s="380"/>
      <c r="S10" s="117"/>
      <c r="T10" s="117">
        <v>206718.75</v>
      </c>
      <c r="U10" s="429">
        <f>(N10-T10)/1000</f>
        <v>7.093950000000012</v>
      </c>
      <c r="V10" s="435">
        <f>U10/T10*1000</f>
        <v>0.0343169160997733</v>
      </c>
      <c r="W10" s="610">
        <f>(D10-P10)/1000</f>
        <v>7.093950000000012</v>
      </c>
      <c r="X10" s="613">
        <f>W10/P10*1000</f>
        <v>0.0343169160997733</v>
      </c>
    </row>
    <row r="11" spans="1:24" ht="11.25">
      <c r="A11" s="229">
        <v>551150</v>
      </c>
      <c r="B11" s="276" t="s">
        <v>849</v>
      </c>
      <c r="C11" s="188"/>
      <c r="D11" s="1075">
        <f>VLOOKUP(A11,TB!$A:$E,5,FALSE)</f>
        <v>95683.06</v>
      </c>
      <c r="E11" s="587"/>
      <c r="F11" s="587"/>
      <c r="G11" s="277"/>
      <c r="H11" s="277"/>
      <c r="I11" s="151"/>
      <c r="J11" s="444"/>
      <c r="K11" s="443"/>
      <c r="L11" s="443"/>
      <c r="M11" s="443"/>
      <c r="N11" s="447">
        <f>D11-L11+M11</f>
        <v>95683.06</v>
      </c>
      <c r="O11" s="444">
        <f>J11-L11+M11</f>
        <v>0</v>
      </c>
      <c r="P11" s="308">
        <v>155493.18</v>
      </c>
      <c r="Q11" s="379"/>
      <c r="R11" s="380"/>
      <c r="S11" s="117"/>
      <c r="T11" s="117">
        <v>57000</v>
      </c>
      <c r="U11" s="429">
        <f>(N11-T11)/1000</f>
        <v>38.68306</v>
      </c>
      <c r="V11" s="435">
        <f>U11/T11*1000</f>
        <v>0.6786501754385964</v>
      </c>
      <c r="W11" s="610">
        <f>(D11-P11)/1000</f>
        <v>-59.81012</v>
      </c>
      <c r="X11" s="613">
        <v>1</v>
      </c>
    </row>
    <row r="12" spans="1:24" ht="11.25">
      <c r="A12" s="276"/>
      <c r="B12" s="276"/>
      <c r="C12" s="188"/>
      <c r="D12" s="587"/>
      <c r="E12" s="587"/>
      <c r="F12" s="587"/>
      <c r="G12" s="277"/>
      <c r="H12" s="277"/>
      <c r="I12" s="277"/>
      <c r="J12" s="277"/>
      <c r="K12" s="128"/>
      <c r="L12" s="175"/>
      <c r="M12" s="228"/>
      <c r="N12" s="288"/>
      <c r="O12" s="288"/>
      <c r="P12" s="308"/>
      <c r="Q12" s="379"/>
      <c r="R12" s="380"/>
      <c r="S12" s="117"/>
      <c r="T12" s="117"/>
      <c r="U12" s="279"/>
      <c r="V12" s="272"/>
      <c r="W12" s="269"/>
      <c r="X12" s="272"/>
    </row>
    <row r="13" spans="1:24" ht="11.25">
      <c r="A13" s="276"/>
      <c r="B13" s="276" t="s">
        <v>998</v>
      </c>
      <c r="C13" s="188"/>
      <c r="D13" s="1103">
        <f>-'[11]PL'!$M$183</f>
        <v>-57683.06</v>
      </c>
      <c r="E13" s="586"/>
      <c r="F13" s="586"/>
      <c r="G13" s="188"/>
      <c r="H13" s="188"/>
      <c r="I13" s="188"/>
      <c r="J13" s="188"/>
      <c r="K13" s="128"/>
      <c r="L13" s="175"/>
      <c r="M13" s="228"/>
      <c r="N13" s="447">
        <f>D13-L13+M13</f>
        <v>-57683.06</v>
      </c>
      <c r="O13" s="288"/>
      <c r="P13" s="117">
        <v>-54493</v>
      </c>
      <c r="Q13" s="379"/>
      <c r="R13" s="380"/>
      <c r="S13" s="117"/>
      <c r="T13" s="117"/>
      <c r="U13" s="269"/>
      <c r="V13" s="272"/>
      <c r="W13" s="269"/>
      <c r="X13" s="272"/>
    </row>
    <row r="14" spans="1:24" ht="11.25">
      <c r="A14" s="276"/>
      <c r="B14" s="276"/>
      <c r="C14" s="188"/>
      <c r="D14" s="586"/>
      <c r="E14" s="586"/>
      <c r="F14" s="586"/>
      <c r="G14" s="188"/>
      <c r="H14" s="188"/>
      <c r="I14" s="188"/>
      <c r="J14" s="188"/>
      <c r="K14" s="128"/>
      <c r="L14" s="175"/>
      <c r="M14" s="331"/>
      <c r="N14" s="332"/>
      <c r="O14" s="332"/>
      <c r="P14" s="309"/>
      <c r="Q14" s="379"/>
      <c r="R14" s="380"/>
      <c r="S14" s="117"/>
      <c r="T14" s="117"/>
      <c r="U14" s="269"/>
      <c r="V14" s="272"/>
      <c r="W14" s="269"/>
      <c r="X14" s="272"/>
    </row>
    <row r="15" spans="1:24" ht="11.25">
      <c r="A15" s="276"/>
      <c r="B15" s="230"/>
      <c r="C15" s="188"/>
      <c r="D15" s="586"/>
      <c r="E15" s="586"/>
      <c r="F15" s="586"/>
      <c r="G15" s="188"/>
      <c r="H15" s="188"/>
      <c r="I15" s="188"/>
      <c r="J15" s="188"/>
      <c r="K15" s="128"/>
      <c r="L15" s="175"/>
      <c r="M15" s="331"/>
      <c r="N15" s="332"/>
      <c r="O15" s="332"/>
      <c r="P15" s="309"/>
      <c r="Q15" s="379"/>
      <c r="R15" s="380"/>
      <c r="S15" s="117"/>
      <c r="T15" s="117"/>
      <c r="U15" s="269"/>
      <c r="V15" s="272"/>
      <c r="W15" s="269"/>
      <c r="X15" s="272"/>
    </row>
    <row r="16" spans="1:24" ht="11.25">
      <c r="A16" s="225"/>
      <c r="B16" s="128"/>
      <c r="C16" s="188"/>
      <c r="D16" s="586"/>
      <c r="E16" s="586"/>
      <c r="F16" s="586"/>
      <c r="G16" s="188"/>
      <c r="H16" s="188"/>
      <c r="I16" s="188"/>
      <c r="J16" s="188"/>
      <c r="K16" s="128"/>
      <c r="L16" s="175"/>
      <c r="M16" s="228"/>
      <c r="N16" s="288"/>
      <c r="O16" s="288"/>
      <c r="P16" s="309"/>
      <c r="Q16" s="379"/>
      <c r="R16" s="380"/>
      <c r="S16" s="117"/>
      <c r="T16" s="117"/>
      <c r="U16" s="269"/>
      <c r="V16" s="272"/>
      <c r="W16" s="409"/>
      <c r="X16" s="410"/>
    </row>
    <row r="17" spans="1:24" ht="11.25">
      <c r="A17" s="280"/>
      <c r="B17" s="191" t="s">
        <v>850</v>
      </c>
      <c r="C17" s="192"/>
      <c r="D17" s="588">
        <f aca="true" t="shared" si="0" ref="D17:I17">SUM(D8:D16)</f>
        <v>251812.7</v>
      </c>
      <c r="E17" s="589" t="e">
        <f t="shared" si="0"/>
        <v>#REF!</v>
      </c>
      <c r="F17" s="589" t="e">
        <f t="shared" si="0"/>
        <v>#REF!</v>
      </c>
      <c r="G17" s="589" t="e">
        <f t="shared" si="0"/>
        <v>#REF!</v>
      </c>
      <c r="H17" s="589" t="e">
        <f t="shared" si="0"/>
        <v>#REF!</v>
      </c>
      <c r="I17" s="589" t="e">
        <f t="shared" si="0"/>
        <v>#REF!</v>
      </c>
      <c r="J17" s="102" t="e">
        <f>SUM(J10:J10)</f>
        <v>#REF!</v>
      </c>
      <c r="K17" s="896"/>
      <c r="L17" s="896"/>
      <c r="M17" s="896"/>
      <c r="N17" s="669">
        <f>D17-L17+M17</f>
        <v>251812.7</v>
      </c>
      <c r="O17" s="669" t="e">
        <f>J17-L17+M17</f>
        <v>#REF!</v>
      </c>
      <c r="P17" s="310">
        <v>307718.93</v>
      </c>
      <c r="Q17" s="381">
        <f>SUM(Q8:Q16)</f>
        <v>0</v>
      </c>
      <c r="R17" s="381">
        <f>SUM(R8:R16)</f>
        <v>0</v>
      </c>
      <c r="S17" s="317">
        <f>SUM(S8:S16)</f>
        <v>0</v>
      </c>
      <c r="T17" s="317">
        <f>SUM(T8:T16)</f>
        <v>263718.75</v>
      </c>
      <c r="U17" s="433">
        <f>(N17-T17)/1000</f>
        <v>-11.906049999999988</v>
      </c>
      <c r="V17" s="672">
        <f>U17/T17*1000</f>
        <v>-0.04514677094442465</v>
      </c>
      <c r="W17" s="979">
        <f>(D17-P17)/1000</f>
        <v>-55.90622999999998</v>
      </c>
      <c r="X17" s="978">
        <f>W17/P17*1000</f>
        <v>-0.18167952813302704</v>
      </c>
    </row>
    <row r="18" spans="1:20" ht="11.25">
      <c r="A18" s="193"/>
      <c r="B18" s="193"/>
      <c r="C18" s="193"/>
      <c r="D18" s="590"/>
      <c r="E18" s="590"/>
      <c r="F18" s="590"/>
      <c r="G18" s="193"/>
      <c r="H18" s="193"/>
      <c r="I18" s="193"/>
      <c r="J18" s="193"/>
      <c r="P18" s="291" t="s">
        <v>1140</v>
      </c>
      <c r="Q18" s="193"/>
      <c r="R18" s="193"/>
      <c r="T18" s="1201"/>
    </row>
    <row r="19" ht="11.25">
      <c r="A19" s="1" t="s">
        <v>1141</v>
      </c>
    </row>
    <row r="20" ht="11.25">
      <c r="A20" s="1" t="s">
        <v>1207</v>
      </c>
    </row>
  </sheetData>
  <mergeCells count="11">
    <mergeCell ref="W4:X4"/>
    <mergeCell ref="U4:V4"/>
    <mergeCell ref="W2:X2"/>
    <mergeCell ref="W3:X3"/>
    <mergeCell ref="U2:V2"/>
    <mergeCell ref="U3:V3"/>
    <mergeCell ref="E2:F2"/>
    <mergeCell ref="K3:M3"/>
    <mergeCell ref="K2:M2"/>
    <mergeCell ref="I2:J2"/>
    <mergeCell ref="G2:H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2" ySplit="5" topLeftCell="C6" activePane="bottomRight" state="frozen"/>
      <selection pane="topLeft" activeCell="G30" sqref="G30"/>
      <selection pane="topRight" activeCell="G30" sqref="G30"/>
      <selection pane="bottomLeft" activeCell="G30" sqref="G30"/>
      <selection pane="bottomRight" activeCell="G30" sqref="G30"/>
    </sheetView>
  </sheetViews>
  <sheetFormatPr defaultColWidth="9.140625" defaultRowHeight="21.75"/>
  <cols>
    <col min="1" max="1" width="10.421875" style="5" customWidth="1"/>
    <col min="2" max="2" width="29.8515625" style="1" customWidth="1"/>
    <col min="3" max="3" width="5.00390625" style="1" customWidth="1"/>
    <col min="4" max="4" width="10.421875" style="581" bestFit="1" customWidth="1"/>
    <col min="5" max="6" width="8.421875" style="581" hidden="1" customWidth="1"/>
    <col min="7" max="8" width="8.57421875" style="1" hidden="1" customWidth="1"/>
    <col min="9" max="9" width="9.28125" style="1" hidden="1" customWidth="1"/>
    <col min="10" max="10" width="8.421875" style="1" hidden="1" customWidth="1"/>
    <col min="11" max="11" width="7.8515625" style="161" customWidth="1"/>
    <col min="12" max="12" width="9.57421875" style="161" customWidth="1"/>
    <col min="13" max="13" width="8.140625" style="282" customWidth="1"/>
    <col min="14" max="14" width="10.421875" style="282" bestFit="1" customWidth="1"/>
    <col min="15" max="15" width="8.421875" style="282" hidden="1" customWidth="1"/>
    <col min="16" max="16" width="10.421875" style="1" customWidth="1"/>
    <col min="17" max="17" width="12.28125" style="1" hidden="1" customWidth="1"/>
    <col min="18" max="18" width="10.7109375" style="1" hidden="1" customWidth="1"/>
    <col min="19" max="19" width="11.7109375" style="266" hidden="1" customWidth="1"/>
    <col min="20" max="20" width="11.00390625" style="266" customWidth="1"/>
    <col min="21" max="21" width="7.00390625" style="1" customWidth="1"/>
    <col min="22" max="22" width="5.8515625" style="1" bestFit="1" customWidth="1"/>
    <col min="23" max="23" width="7.8515625" style="1" customWidth="1"/>
    <col min="24" max="24" width="5.8515625" style="1" bestFit="1" customWidth="1"/>
    <col min="25" max="16384" width="9.140625" style="1" customWidth="1"/>
  </cols>
  <sheetData>
    <row r="1" spans="1:18" ht="11.25">
      <c r="A1" s="281" t="s">
        <v>485</v>
      </c>
      <c r="B1" s="8"/>
      <c r="C1" s="8"/>
      <c r="G1" s="8"/>
      <c r="H1" s="8"/>
      <c r="I1" s="8"/>
      <c r="J1" s="8"/>
      <c r="P1" s="8"/>
      <c r="Q1" s="8"/>
      <c r="R1" s="8"/>
    </row>
    <row r="2" spans="1:24" ht="20.25" customHeight="1">
      <c r="A2" s="56"/>
      <c r="B2" s="163"/>
      <c r="C2" s="56"/>
      <c r="D2" s="1069" t="str">
        <f>'6000'!D3</f>
        <v>Quarter 1'08</v>
      </c>
      <c r="E2" s="1713" t="s">
        <v>956</v>
      </c>
      <c r="F2" s="1714"/>
      <c r="G2" s="1715" t="s">
        <v>957</v>
      </c>
      <c r="H2" s="1716"/>
      <c r="I2" s="1715" t="s">
        <v>958</v>
      </c>
      <c r="J2" s="1716"/>
      <c r="K2" s="1690" t="s">
        <v>486</v>
      </c>
      <c r="L2" s="477"/>
      <c r="M2" s="285"/>
      <c r="N2" s="1069" t="str">
        <f>'6000'!H3</f>
        <v>Quarter 1'08</v>
      </c>
      <c r="O2" s="1035"/>
      <c r="P2" s="1037" t="s">
        <v>927</v>
      </c>
      <c r="Q2" s="65" t="s">
        <v>927</v>
      </c>
      <c r="R2" s="65" t="s">
        <v>927</v>
      </c>
      <c r="S2" s="1036" t="s">
        <v>252</v>
      </c>
      <c r="T2" s="65" t="s">
        <v>927</v>
      </c>
      <c r="U2" s="1686" t="s">
        <v>487</v>
      </c>
      <c r="V2" s="1687"/>
      <c r="W2" s="1686" t="s">
        <v>487</v>
      </c>
      <c r="X2" s="1687"/>
    </row>
    <row r="3" spans="1:24" ht="15.75" customHeight="1">
      <c r="A3" s="57" t="s">
        <v>488</v>
      </c>
      <c r="B3" s="165"/>
      <c r="C3" s="57"/>
      <c r="D3" s="1067">
        <f>'6000'!D4</f>
        <v>39538</v>
      </c>
      <c r="E3" s="425">
        <v>38898</v>
      </c>
      <c r="F3" s="605">
        <v>38898</v>
      </c>
      <c r="G3" s="69">
        <v>38990</v>
      </c>
      <c r="H3" s="70">
        <v>38990</v>
      </c>
      <c r="I3" s="69">
        <v>39082</v>
      </c>
      <c r="J3" s="70">
        <v>39082</v>
      </c>
      <c r="K3" s="1692" t="s">
        <v>489</v>
      </c>
      <c r="L3" s="1500"/>
      <c r="M3" s="1501"/>
      <c r="N3" s="1067">
        <f>'6000'!H4</f>
        <v>39538</v>
      </c>
      <c r="O3" s="70">
        <v>39082</v>
      </c>
      <c r="P3" s="1038">
        <f>'6000'!I4</f>
        <v>39172</v>
      </c>
      <c r="Q3" s="71" t="e">
        <f>'6000'!#REF!</f>
        <v>#REF!</v>
      </c>
      <c r="R3" s="71" t="e">
        <f>'6000'!#REF!</f>
        <v>#REF!</v>
      </c>
      <c r="S3" s="480" t="e">
        <f>'6000'!#REF!</f>
        <v>#REF!</v>
      </c>
      <c r="T3" s="480">
        <f>'6000'!J4</f>
        <v>39447</v>
      </c>
      <c r="U3" s="1694">
        <f>'6000'!K4</f>
        <v>39447</v>
      </c>
      <c r="V3" s="1695">
        <f>'6000'!L4</f>
        <v>0</v>
      </c>
      <c r="W3" s="1721">
        <f>'6000'!M4</f>
        <v>39172</v>
      </c>
      <c r="X3" s="1722">
        <f>'6000'!N4</f>
        <v>0</v>
      </c>
    </row>
    <row r="4" spans="1:24" ht="21.75">
      <c r="A4" s="58" t="s">
        <v>491</v>
      </c>
      <c r="B4" s="167" t="s">
        <v>492</v>
      </c>
      <c r="C4" s="58" t="s">
        <v>493</v>
      </c>
      <c r="D4" s="1070" t="s">
        <v>869</v>
      </c>
      <c r="E4" s="583" t="s">
        <v>932</v>
      </c>
      <c r="F4" s="583" t="s">
        <v>869</v>
      </c>
      <c r="G4" s="69" t="s">
        <v>933</v>
      </c>
      <c r="H4" s="69" t="s">
        <v>869</v>
      </c>
      <c r="I4" s="69" t="s">
        <v>885</v>
      </c>
      <c r="J4" s="69" t="s">
        <v>869</v>
      </c>
      <c r="K4" s="168" t="s">
        <v>494</v>
      </c>
      <c r="L4" s="169" t="s">
        <v>495</v>
      </c>
      <c r="M4" s="170" t="s">
        <v>496</v>
      </c>
      <c r="N4" s="1070" t="s">
        <v>869</v>
      </c>
      <c r="O4" s="69" t="s">
        <v>869</v>
      </c>
      <c r="P4" s="480" t="s">
        <v>869</v>
      </c>
      <c r="Q4" s="480" t="s">
        <v>932</v>
      </c>
      <c r="R4" s="79" t="s">
        <v>933</v>
      </c>
      <c r="S4" s="480" t="s">
        <v>885</v>
      </c>
      <c r="T4" s="480" t="s">
        <v>869</v>
      </c>
      <c r="U4" s="1685" t="s">
        <v>869</v>
      </c>
      <c r="V4" s="1711"/>
      <c r="W4" s="1717" t="s">
        <v>869</v>
      </c>
      <c r="X4" s="1718"/>
    </row>
    <row r="5" spans="1:24" ht="11.25">
      <c r="A5" s="171"/>
      <c r="B5" s="135"/>
      <c r="C5" s="135"/>
      <c r="D5" s="1058" t="s">
        <v>497</v>
      </c>
      <c r="E5" s="584" t="s">
        <v>497</v>
      </c>
      <c r="F5" s="584" t="s">
        <v>497</v>
      </c>
      <c r="G5" s="76" t="s">
        <v>497</v>
      </c>
      <c r="H5" s="76" t="s">
        <v>497</v>
      </c>
      <c r="I5" s="76" t="s">
        <v>497</v>
      </c>
      <c r="J5" s="76" t="s">
        <v>497</v>
      </c>
      <c r="K5" s="172" t="s">
        <v>498</v>
      </c>
      <c r="L5" s="170" t="s">
        <v>497</v>
      </c>
      <c r="M5" s="170" t="s">
        <v>497</v>
      </c>
      <c r="N5" s="1058" t="s">
        <v>497</v>
      </c>
      <c r="O5" s="76" t="s">
        <v>497</v>
      </c>
      <c r="P5" s="84" t="s">
        <v>497</v>
      </c>
      <c r="Q5" s="84" t="s">
        <v>497</v>
      </c>
      <c r="R5" s="84" t="s">
        <v>497</v>
      </c>
      <c r="S5" s="84" t="s">
        <v>497</v>
      </c>
      <c r="T5" s="84" t="s">
        <v>497</v>
      </c>
      <c r="U5" s="77" t="s">
        <v>499</v>
      </c>
      <c r="V5" s="297" t="s">
        <v>500</v>
      </c>
      <c r="W5" s="77" t="s">
        <v>499</v>
      </c>
      <c r="X5" s="80" t="s">
        <v>500</v>
      </c>
    </row>
    <row r="6" spans="1:24" ht="11.25">
      <c r="A6" s="174"/>
      <c r="B6" s="96"/>
      <c r="C6" s="97"/>
      <c r="D6" s="585"/>
      <c r="E6" s="585"/>
      <c r="F6" s="585"/>
      <c r="G6" s="97"/>
      <c r="H6" s="97"/>
      <c r="I6" s="97"/>
      <c r="J6" s="97"/>
      <c r="K6" s="177"/>
      <c r="L6" s="175"/>
      <c r="M6" s="287"/>
      <c r="N6" s="289"/>
      <c r="O6" s="289"/>
      <c r="P6" s="288"/>
      <c r="Q6" s="268"/>
      <c r="R6" s="284"/>
      <c r="S6" s="283"/>
      <c r="T6" s="283"/>
      <c r="U6" s="269"/>
      <c r="V6" s="270"/>
      <c r="W6" s="269"/>
      <c r="X6" s="270"/>
    </row>
    <row r="7" spans="1:24" ht="11.25">
      <c r="A7" s="271"/>
      <c r="B7" s="189"/>
      <c r="C7" s="188"/>
      <c r="D7" s="592"/>
      <c r="E7" s="592"/>
      <c r="F7" s="592"/>
      <c r="G7" s="593"/>
      <c r="H7" s="593"/>
      <c r="I7" s="593"/>
      <c r="J7" s="593"/>
      <c r="K7" s="594"/>
      <c r="L7" s="190"/>
      <c r="M7" s="595"/>
      <c r="N7" s="596"/>
      <c r="O7" s="596"/>
      <c r="P7" s="597"/>
      <c r="Q7" s="598"/>
      <c r="R7" s="599"/>
      <c r="S7" s="597"/>
      <c r="T7" s="597"/>
      <c r="U7" s="269"/>
      <c r="V7" s="272"/>
      <c r="W7" s="269"/>
      <c r="X7" s="272"/>
    </row>
    <row r="8" spans="1:24" ht="11.25">
      <c r="A8" s="271"/>
      <c r="B8" s="316" t="s">
        <v>851</v>
      </c>
      <c r="C8" s="188"/>
      <c r="D8" s="592"/>
      <c r="E8" s="592"/>
      <c r="F8" s="592"/>
      <c r="G8" s="593"/>
      <c r="H8" s="593"/>
      <c r="I8" s="593"/>
      <c r="J8" s="593"/>
      <c r="K8" s="594"/>
      <c r="L8" s="190"/>
      <c r="M8" s="595"/>
      <c r="N8" s="596"/>
      <c r="O8" s="596"/>
      <c r="P8" s="597"/>
      <c r="Q8" s="598"/>
      <c r="R8" s="599"/>
      <c r="S8" s="597"/>
      <c r="T8" s="597"/>
      <c r="U8" s="269"/>
      <c r="V8" s="272"/>
      <c r="W8" s="269"/>
      <c r="X8" s="272"/>
    </row>
    <row r="9" spans="1:24" ht="11.25">
      <c r="A9" s="181"/>
      <c r="B9" s="275"/>
      <c r="C9" s="188"/>
      <c r="D9" s="600"/>
      <c r="E9" s="600"/>
      <c r="F9" s="600"/>
      <c r="G9" s="601"/>
      <c r="H9" s="601"/>
      <c r="I9" s="601"/>
      <c r="J9" s="601"/>
      <c r="K9" s="190"/>
      <c r="L9" s="190"/>
      <c r="M9" s="595"/>
      <c r="N9" s="596"/>
      <c r="O9" s="596"/>
      <c r="P9" s="597"/>
      <c r="Q9" s="598"/>
      <c r="R9" s="599"/>
      <c r="S9" s="597"/>
      <c r="T9" s="597"/>
      <c r="U9" s="269"/>
      <c r="V9" s="272"/>
      <c r="W9" s="269"/>
      <c r="X9" s="272"/>
    </row>
    <row r="10" spans="1:24" ht="11.25">
      <c r="A10" s="382">
        <v>560120</v>
      </c>
      <c r="B10" s="383" t="s">
        <v>731</v>
      </c>
      <c r="C10" s="188"/>
      <c r="D10" s="1075">
        <f>VLOOKUP(A10,TB!$A:$E,5,FALSE)</f>
        <v>48741.2</v>
      </c>
      <c r="E10" s="600"/>
      <c r="F10" s="600"/>
      <c r="G10" s="601"/>
      <c r="H10" s="601"/>
      <c r="I10" s="151"/>
      <c r="J10" s="444"/>
      <c r="K10" s="443"/>
      <c r="L10" s="443"/>
      <c r="M10" s="443"/>
      <c r="N10" s="447">
        <f>D10-L10+M10</f>
        <v>48741.2</v>
      </c>
      <c r="O10" s="444">
        <f>J10-L10+M10</f>
        <v>0</v>
      </c>
      <c r="P10" s="596">
        <v>74595.45</v>
      </c>
      <c r="Q10" s="190"/>
      <c r="R10" s="595"/>
      <c r="S10" s="596"/>
      <c r="T10" s="596">
        <v>52611.38</v>
      </c>
      <c r="U10" s="429">
        <f>(N10-T10)/1000</f>
        <v>-3.8701800000000004</v>
      </c>
      <c r="V10" s="435">
        <f>U10/T10*1000</f>
        <v>-0.07356165149060909</v>
      </c>
      <c r="W10" s="610">
        <f>(D10-P10)/1000</f>
        <v>-25.85425</v>
      </c>
      <c r="X10" s="613">
        <f>W10/P10*1000</f>
        <v>-0.34659285519425115</v>
      </c>
    </row>
    <row r="11" spans="1:24" ht="11.25">
      <c r="A11" s="229">
        <v>560140</v>
      </c>
      <c r="B11" s="230" t="s">
        <v>852</v>
      </c>
      <c r="C11" s="188"/>
      <c r="D11" s="1075">
        <f>VLOOKUP(A11,TB!$A:$E,5,FALSE)</f>
        <v>0</v>
      </c>
      <c r="E11" s="600"/>
      <c r="F11" s="600"/>
      <c r="G11" s="601"/>
      <c r="H11" s="601"/>
      <c r="I11" s="151"/>
      <c r="J11" s="444"/>
      <c r="K11" s="443"/>
      <c r="L11" s="443"/>
      <c r="M11" s="443"/>
      <c r="N11" s="447">
        <f>D11-L11+M11</f>
        <v>0</v>
      </c>
      <c r="O11" s="444">
        <f>J11-L11+M11</f>
        <v>0</v>
      </c>
      <c r="P11" s="596">
        <v>0</v>
      </c>
      <c r="Q11" s="190"/>
      <c r="R11" s="595">
        <v>0</v>
      </c>
      <c r="S11" s="596">
        <v>0</v>
      </c>
      <c r="T11" s="596">
        <v>58009.62000000011</v>
      </c>
      <c r="U11" s="429">
        <f>(N11-T11)/1000</f>
        <v>-58.00962000000011</v>
      </c>
      <c r="V11" s="435"/>
      <c r="W11" s="610">
        <f>(D11-P11)/1000</f>
        <v>0</v>
      </c>
      <c r="X11" s="613"/>
    </row>
    <row r="12" spans="1:24" ht="11.25">
      <c r="A12" s="225"/>
      <c r="B12" s="128"/>
      <c r="C12" s="188"/>
      <c r="D12" s="592"/>
      <c r="E12" s="592"/>
      <c r="F12" s="592"/>
      <c r="G12" s="593"/>
      <c r="H12" s="593"/>
      <c r="I12" s="277"/>
      <c r="J12" s="444"/>
      <c r="K12" s="443"/>
      <c r="L12" s="443"/>
      <c r="M12" s="443"/>
      <c r="N12" s="447"/>
      <c r="O12" s="444"/>
      <c r="P12" s="597"/>
      <c r="Q12" s="598"/>
      <c r="R12" s="602"/>
      <c r="S12" s="597"/>
      <c r="T12" s="597"/>
      <c r="U12" s="561"/>
      <c r="V12" s="439"/>
      <c r="W12" s="561"/>
      <c r="X12" s="439"/>
    </row>
    <row r="13" spans="1:24" ht="11.25">
      <c r="A13" s="280"/>
      <c r="B13" s="191" t="s">
        <v>853</v>
      </c>
      <c r="C13" s="192"/>
      <c r="D13" s="526">
        <f aca="true" t="shared" si="0" ref="D13:J13">SUM(D8:D12)</f>
        <v>48741.2</v>
      </c>
      <c r="E13" s="526">
        <f t="shared" si="0"/>
        <v>0</v>
      </c>
      <c r="F13" s="526">
        <f t="shared" si="0"/>
        <v>0</v>
      </c>
      <c r="G13" s="526">
        <f t="shared" si="0"/>
        <v>0</v>
      </c>
      <c r="H13" s="526">
        <f t="shared" si="0"/>
        <v>0</v>
      </c>
      <c r="I13" s="526">
        <f t="shared" si="0"/>
        <v>0</v>
      </c>
      <c r="J13" s="526">
        <f t="shared" si="0"/>
        <v>0</v>
      </c>
      <c r="K13" s="896"/>
      <c r="L13" s="896"/>
      <c r="M13" s="896"/>
      <c r="N13" s="526">
        <f>SUM(N8:N12)</f>
        <v>48741.2</v>
      </c>
      <c r="O13" s="526">
        <f>SUM(O8:O12)</f>
        <v>0</v>
      </c>
      <c r="P13" s="526">
        <v>74595.45</v>
      </c>
      <c r="Q13" s="526">
        <f>SUM(Q8:Q12)</f>
        <v>0</v>
      </c>
      <c r="R13" s="526">
        <f>SUM(R8:R12)</f>
        <v>0</v>
      </c>
      <c r="S13" s="526">
        <f>SUM(S8:S12)</f>
        <v>0</v>
      </c>
      <c r="T13" s="526">
        <f>SUM(T8:T12)</f>
        <v>110621.00000000012</v>
      </c>
      <c r="U13" s="430">
        <f>(N13-T13)/1000</f>
        <v>-61.87980000000012</v>
      </c>
      <c r="V13" s="436">
        <f>U13/T13*1000</f>
        <v>-0.5593856501026031</v>
      </c>
      <c r="W13" s="979">
        <f>(D13-P13)/1000</f>
        <v>-25.85425</v>
      </c>
      <c r="X13" s="978">
        <f>W13/P13*1000</f>
        <v>-0.34659285519425115</v>
      </c>
    </row>
    <row r="14" spans="1:20" ht="11.25">
      <c r="A14" s="291"/>
      <c r="B14" s="193"/>
      <c r="C14" s="193"/>
      <c r="D14" s="590"/>
      <c r="E14" s="590"/>
      <c r="F14" s="590"/>
      <c r="G14" s="193"/>
      <c r="H14" s="193"/>
      <c r="I14" s="193"/>
      <c r="J14" s="193"/>
      <c r="P14" s="291" t="s">
        <v>1140</v>
      </c>
      <c r="Q14" s="193"/>
      <c r="R14" s="193"/>
      <c r="T14" s="1201"/>
    </row>
    <row r="15" ht="11.25">
      <c r="A15" s="1" t="s">
        <v>1141</v>
      </c>
    </row>
    <row r="16" ht="11.25">
      <c r="A16" s="1" t="s">
        <v>1207</v>
      </c>
    </row>
  </sheetData>
  <mergeCells count="11">
    <mergeCell ref="W4:X4"/>
    <mergeCell ref="U4:V4"/>
    <mergeCell ref="U2:V2"/>
    <mergeCell ref="U3:V3"/>
    <mergeCell ref="W2:X2"/>
    <mergeCell ref="W3:X3"/>
    <mergeCell ref="E2:F2"/>
    <mergeCell ref="K3:M3"/>
    <mergeCell ref="K2:M2"/>
    <mergeCell ref="I2:J2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647"/>
  <sheetViews>
    <sheetView workbookViewId="0" topLeftCell="A747">
      <selection activeCell="G30" sqref="G30"/>
    </sheetView>
  </sheetViews>
  <sheetFormatPr defaultColWidth="9.140625" defaultRowHeight="21.75"/>
  <cols>
    <col min="1" max="2" width="9.140625" style="1207" customWidth="1"/>
    <col min="3" max="3" width="64.57421875" style="1207" customWidth="1"/>
    <col min="4" max="4" width="18.140625" style="1207" customWidth="1"/>
    <col min="5" max="5" width="15.00390625" style="1207" bestFit="1" customWidth="1"/>
    <col min="6" max="6" width="14.00390625" style="1207" bestFit="1" customWidth="1"/>
    <col min="7" max="7" width="11.28125" style="1207" bestFit="1" customWidth="1"/>
    <col min="8" max="16384" width="9.140625" style="1207" customWidth="1"/>
  </cols>
  <sheetData>
    <row r="1" spans="1:4" ht="12.75">
      <c r="A1" s="1203" t="s">
        <v>965</v>
      </c>
      <c r="B1" s="1204"/>
      <c r="C1" s="1205"/>
      <c r="D1" s="1206"/>
    </row>
    <row r="2" spans="1:4" ht="12.75">
      <c r="A2" s="1208" t="s">
        <v>966</v>
      </c>
      <c r="B2" s="1204"/>
      <c r="C2" s="1205"/>
      <c r="D2" s="1206"/>
    </row>
    <row r="3" spans="1:4" ht="12.75">
      <c r="A3" s="1203" t="s">
        <v>842</v>
      </c>
      <c r="B3" s="1204"/>
      <c r="C3" s="1205"/>
      <c r="D3" s="1206" t="s">
        <v>708</v>
      </c>
    </row>
    <row r="4" spans="1:4" ht="12.75">
      <c r="A4" s="1209"/>
      <c r="B4" s="1210"/>
      <c r="C4" s="1211"/>
      <c r="D4" s="1212"/>
    </row>
    <row r="5" spans="1:4" ht="12.75">
      <c r="A5" s="1213" t="s">
        <v>967</v>
      </c>
      <c r="B5" s="1214" t="s">
        <v>968</v>
      </c>
      <c r="C5" s="1215" t="s">
        <v>1026</v>
      </c>
      <c r="D5" s="1216" t="s">
        <v>969</v>
      </c>
    </row>
    <row r="6" spans="1:4" ht="12.75">
      <c r="A6" s="1217" t="s">
        <v>970</v>
      </c>
      <c r="B6" s="1218" t="s">
        <v>970</v>
      </c>
      <c r="C6" s="1219"/>
      <c r="D6" s="1220" t="s">
        <v>971</v>
      </c>
    </row>
    <row r="7" spans="1:5" ht="12.75">
      <c r="A7" s="1221">
        <v>110000</v>
      </c>
      <c r="B7" s="1221" t="s">
        <v>972</v>
      </c>
      <c r="C7" s="1222" t="s">
        <v>1027</v>
      </c>
      <c r="D7" s="1223">
        <v>0</v>
      </c>
      <c r="E7" s="1273">
        <f aca="true" t="shared" si="0" ref="E7:E48">IF(A7&gt;0,D7,"No")</f>
        <v>0</v>
      </c>
    </row>
    <row r="8" spans="1:5" ht="12.75">
      <c r="A8" s="1221">
        <v>110110</v>
      </c>
      <c r="B8" s="1221" t="s">
        <v>972</v>
      </c>
      <c r="C8" s="1222" t="s">
        <v>1028</v>
      </c>
      <c r="D8" s="1223">
        <v>0</v>
      </c>
      <c r="E8" s="1273">
        <f t="shared" si="0"/>
        <v>0</v>
      </c>
    </row>
    <row r="9" spans="1:5" ht="12.75">
      <c r="A9" s="1221">
        <v>110120</v>
      </c>
      <c r="B9" s="1221" t="s">
        <v>972</v>
      </c>
      <c r="C9" s="1222" t="s">
        <v>1029</v>
      </c>
      <c r="D9" s="1223">
        <v>50000</v>
      </c>
      <c r="E9" s="1273">
        <f t="shared" si="0"/>
        <v>50000</v>
      </c>
    </row>
    <row r="10" spans="1:5" ht="12.75">
      <c r="A10" s="1221">
        <v>115000</v>
      </c>
      <c r="B10" s="1221" t="s">
        <v>972</v>
      </c>
      <c r="C10" s="1222" t="s">
        <v>1030</v>
      </c>
      <c r="D10" s="1223">
        <v>0</v>
      </c>
      <c r="E10" s="1273">
        <f t="shared" si="0"/>
        <v>0</v>
      </c>
    </row>
    <row r="11" spans="1:5" ht="12.75">
      <c r="A11" s="1221">
        <v>115100</v>
      </c>
      <c r="B11" s="1221" t="s">
        <v>972</v>
      </c>
      <c r="C11" s="1222" t="s">
        <v>1031</v>
      </c>
      <c r="D11" s="1223">
        <v>0</v>
      </c>
      <c r="E11" s="1273">
        <f t="shared" si="0"/>
        <v>0</v>
      </c>
    </row>
    <row r="12" spans="1:5" ht="12.75">
      <c r="A12" s="1221">
        <v>115110</v>
      </c>
      <c r="B12" s="1221" t="s">
        <v>972</v>
      </c>
      <c r="C12" s="1222" t="s">
        <v>1032</v>
      </c>
      <c r="D12" s="1223">
        <v>0</v>
      </c>
      <c r="E12" s="1273">
        <f t="shared" si="0"/>
        <v>0</v>
      </c>
    </row>
    <row r="13" spans="1:5" ht="12.75">
      <c r="A13" s="1221">
        <v>115120</v>
      </c>
      <c r="B13" s="1221" t="s">
        <v>972</v>
      </c>
      <c r="C13" s="1222" t="s">
        <v>1033</v>
      </c>
      <c r="D13" s="1223">
        <v>1429082.65</v>
      </c>
      <c r="E13" s="1273">
        <f t="shared" si="0"/>
        <v>1429082.65</v>
      </c>
    </row>
    <row r="14" spans="1:5" ht="12.75">
      <c r="A14" s="1221">
        <v>115121</v>
      </c>
      <c r="B14" s="1221" t="s">
        <v>972</v>
      </c>
      <c r="C14" s="1222" t="s">
        <v>1034</v>
      </c>
      <c r="D14" s="1223">
        <v>0</v>
      </c>
      <c r="E14" s="1273">
        <f t="shared" si="0"/>
        <v>0</v>
      </c>
    </row>
    <row r="15" spans="1:5" ht="12.75">
      <c r="A15" s="1221">
        <v>115122</v>
      </c>
      <c r="B15" s="1221" t="s">
        <v>972</v>
      </c>
      <c r="C15" s="1222" t="s">
        <v>1035</v>
      </c>
      <c r="D15" s="1223">
        <v>0</v>
      </c>
      <c r="E15" s="1273">
        <f t="shared" si="0"/>
        <v>0</v>
      </c>
    </row>
    <row r="16" spans="1:5" ht="12.75">
      <c r="A16" s="1221">
        <v>115130</v>
      </c>
      <c r="B16" s="1221" t="s">
        <v>972</v>
      </c>
      <c r="C16" s="1222" t="s">
        <v>1036</v>
      </c>
      <c r="D16" s="1223">
        <v>0</v>
      </c>
      <c r="E16" s="1273">
        <f t="shared" si="0"/>
        <v>0</v>
      </c>
    </row>
    <row r="17" spans="1:5" ht="12.75">
      <c r="A17" s="1221">
        <v>115140</v>
      </c>
      <c r="B17" s="1221" t="s">
        <v>972</v>
      </c>
      <c r="C17" s="1222" t="s">
        <v>1036</v>
      </c>
      <c r="D17" s="1223">
        <v>1431224.4</v>
      </c>
      <c r="E17" s="1273">
        <f t="shared" si="0"/>
        <v>1431224.4</v>
      </c>
    </row>
    <row r="18" spans="1:5" ht="12.75">
      <c r="A18" s="1225">
        <v>115150</v>
      </c>
      <c r="B18" s="1225" t="s">
        <v>972</v>
      </c>
      <c r="C18" s="1226" t="s">
        <v>1037</v>
      </c>
      <c r="D18" s="1227">
        <v>0</v>
      </c>
      <c r="E18" s="1273">
        <f t="shared" si="0"/>
        <v>0</v>
      </c>
    </row>
    <row r="19" spans="1:5" ht="12.75">
      <c r="A19" s="1221">
        <v>115160</v>
      </c>
      <c r="B19" s="1221" t="s">
        <v>972</v>
      </c>
      <c r="C19" s="1222" t="s">
        <v>1038</v>
      </c>
      <c r="D19" s="1223">
        <v>4304335.43</v>
      </c>
      <c r="E19" s="1273">
        <f t="shared" si="0"/>
        <v>4304335.43</v>
      </c>
    </row>
    <row r="20" spans="1:5" ht="12.75">
      <c r="A20" s="1221">
        <v>115170</v>
      </c>
      <c r="B20" s="1221" t="s">
        <v>972</v>
      </c>
      <c r="C20" s="1222" t="s">
        <v>1039</v>
      </c>
      <c r="D20" s="1223">
        <v>77158.53</v>
      </c>
      <c r="E20" s="1273">
        <f t="shared" si="0"/>
        <v>77158.53</v>
      </c>
    </row>
    <row r="21" spans="1:5" ht="12.75">
      <c r="A21" s="1221">
        <v>115180</v>
      </c>
      <c r="B21" s="1221" t="s">
        <v>972</v>
      </c>
      <c r="C21" s="1222" t="s">
        <v>1041</v>
      </c>
      <c r="D21" s="1223">
        <v>105626677.72</v>
      </c>
      <c r="E21" s="1273">
        <f t="shared" si="0"/>
        <v>105626677.72</v>
      </c>
    </row>
    <row r="22" spans="1:5" ht="12.75">
      <c r="A22" s="1221">
        <v>115200</v>
      </c>
      <c r="B22" s="1221" t="s">
        <v>972</v>
      </c>
      <c r="C22" s="1222" t="s">
        <v>1042</v>
      </c>
      <c r="D22" s="1223">
        <v>0</v>
      </c>
      <c r="E22" s="1273">
        <f t="shared" si="0"/>
        <v>0</v>
      </c>
    </row>
    <row r="23" spans="1:5" ht="12.75">
      <c r="A23" s="1221">
        <v>115210</v>
      </c>
      <c r="B23" s="1221" t="s">
        <v>972</v>
      </c>
      <c r="C23" s="1222" t="s">
        <v>1043</v>
      </c>
      <c r="D23" s="1223">
        <v>0</v>
      </c>
      <c r="E23" s="1273">
        <f t="shared" si="0"/>
        <v>0</v>
      </c>
    </row>
    <row r="24" spans="1:5" ht="12.75">
      <c r="A24" s="1221">
        <v>115220</v>
      </c>
      <c r="B24" s="1221" t="s">
        <v>972</v>
      </c>
      <c r="C24" s="1222" t="s">
        <v>1044</v>
      </c>
      <c r="D24" s="1223">
        <v>0</v>
      </c>
      <c r="E24" s="1273">
        <f t="shared" si="0"/>
        <v>0</v>
      </c>
    </row>
    <row r="25" spans="1:5" ht="12.75">
      <c r="A25" s="1221">
        <v>115230</v>
      </c>
      <c r="B25" s="1221" t="s">
        <v>972</v>
      </c>
      <c r="C25" s="1222" t="s">
        <v>1045</v>
      </c>
      <c r="D25" s="1223">
        <v>0</v>
      </c>
      <c r="E25" s="1273">
        <f t="shared" si="0"/>
        <v>0</v>
      </c>
    </row>
    <row r="26" spans="1:5" ht="12.75">
      <c r="A26" s="1221">
        <v>115240</v>
      </c>
      <c r="B26" s="1221" t="s">
        <v>972</v>
      </c>
      <c r="C26" s="1222" t="s">
        <v>1046</v>
      </c>
      <c r="D26" s="1223">
        <v>0</v>
      </c>
      <c r="E26" s="1273">
        <f t="shared" si="0"/>
        <v>0</v>
      </c>
    </row>
    <row r="27" spans="1:5" ht="12.75">
      <c r="A27" s="1221">
        <v>115250</v>
      </c>
      <c r="B27" s="1221" t="s">
        <v>972</v>
      </c>
      <c r="C27" s="1222" t="s">
        <v>1047</v>
      </c>
      <c r="D27" s="1223">
        <v>1224757.37</v>
      </c>
      <c r="E27" s="1273">
        <f t="shared" si="0"/>
        <v>1224757.37</v>
      </c>
    </row>
    <row r="28" spans="1:5" ht="12.75">
      <c r="A28" s="1221">
        <v>115260</v>
      </c>
      <c r="B28" s="1221" t="s">
        <v>972</v>
      </c>
      <c r="C28" s="1222" t="s">
        <v>1048</v>
      </c>
      <c r="D28" s="1223">
        <v>0</v>
      </c>
      <c r="E28" s="1273">
        <f t="shared" si="0"/>
        <v>0</v>
      </c>
    </row>
    <row r="29" spans="1:5" ht="12.75">
      <c r="A29" s="1221">
        <v>115270</v>
      </c>
      <c r="B29" s="1221" t="s">
        <v>972</v>
      </c>
      <c r="C29" s="1222" t="s">
        <v>1049</v>
      </c>
      <c r="D29" s="1223">
        <v>-21568700.17</v>
      </c>
      <c r="E29" s="1273">
        <f t="shared" si="0"/>
        <v>-21568700.17</v>
      </c>
    </row>
    <row r="30" spans="1:5" ht="12.75">
      <c r="A30" s="1221">
        <v>115280</v>
      </c>
      <c r="B30" s="1221" t="s">
        <v>972</v>
      </c>
      <c r="C30" s="1222" t="s">
        <v>1050</v>
      </c>
      <c r="D30" s="1223">
        <v>43040.68</v>
      </c>
      <c r="E30" s="1273">
        <f t="shared" si="0"/>
        <v>43040.68</v>
      </c>
    </row>
    <row r="31" spans="1:6" ht="12.75">
      <c r="A31" s="1221">
        <v>115290</v>
      </c>
      <c r="B31" s="1221"/>
      <c r="C31" s="1222" t="s">
        <v>1051</v>
      </c>
      <c r="D31" s="1223">
        <v>14356.68</v>
      </c>
      <c r="E31" s="1273">
        <f t="shared" si="0"/>
        <v>14356.68</v>
      </c>
      <c r="F31" s="1274">
        <f>SUM(E7:E31,E378:E384)</f>
        <v>95454284.75000003</v>
      </c>
    </row>
    <row r="32" spans="1:5" ht="12.75">
      <c r="A32" s="1221">
        <v>120000</v>
      </c>
      <c r="B32" s="1221" t="s">
        <v>972</v>
      </c>
      <c r="C32" s="1222" t="s">
        <v>1052</v>
      </c>
      <c r="D32" s="1223">
        <v>0</v>
      </c>
      <c r="E32" s="1273">
        <f t="shared" si="0"/>
        <v>0</v>
      </c>
    </row>
    <row r="33" spans="1:5" ht="12.75">
      <c r="A33" s="1221">
        <v>120110</v>
      </c>
      <c r="B33" s="1221" t="s">
        <v>972</v>
      </c>
      <c r="C33" s="1222" t="s">
        <v>1053</v>
      </c>
      <c r="D33" s="1223">
        <v>0</v>
      </c>
      <c r="E33" s="1273">
        <f t="shared" si="0"/>
        <v>0</v>
      </c>
    </row>
    <row r="34" spans="1:5" ht="12.75">
      <c r="A34" s="1221">
        <v>120120</v>
      </c>
      <c r="B34" s="1221" t="s">
        <v>972</v>
      </c>
      <c r="C34" s="1222" t="s">
        <v>1054</v>
      </c>
      <c r="D34" s="1223">
        <v>0</v>
      </c>
      <c r="E34" s="1273">
        <f t="shared" si="0"/>
        <v>0</v>
      </c>
    </row>
    <row r="35" spans="1:5" ht="12.75">
      <c r="A35" s="1221">
        <v>120130</v>
      </c>
      <c r="B35" s="1221" t="s">
        <v>972</v>
      </c>
      <c r="C35" s="1222" t="s">
        <v>1055</v>
      </c>
      <c r="D35" s="1223">
        <v>0</v>
      </c>
      <c r="E35" s="1273">
        <f t="shared" si="0"/>
        <v>0</v>
      </c>
    </row>
    <row r="36" spans="1:5" ht="12.75">
      <c r="A36" s="1221">
        <v>120140</v>
      </c>
      <c r="B36" s="1221" t="s">
        <v>972</v>
      </c>
      <c r="C36" s="1222" t="s">
        <v>1056</v>
      </c>
      <c r="D36" s="1223">
        <v>0</v>
      </c>
      <c r="E36" s="1273">
        <f t="shared" si="0"/>
        <v>0</v>
      </c>
    </row>
    <row r="37" spans="1:5" ht="12.75">
      <c r="A37" s="1221">
        <v>120150</v>
      </c>
      <c r="B37" s="1221" t="s">
        <v>972</v>
      </c>
      <c r="C37" s="1222" t="s">
        <v>1057</v>
      </c>
      <c r="D37" s="1223">
        <v>0</v>
      </c>
      <c r="E37" s="1273">
        <f t="shared" si="0"/>
        <v>0</v>
      </c>
    </row>
    <row r="38" spans="1:5" ht="12.75">
      <c r="A38" s="1221">
        <v>120160</v>
      </c>
      <c r="B38" s="1221" t="s">
        <v>972</v>
      </c>
      <c r="C38" s="1222" t="s">
        <v>1058</v>
      </c>
      <c r="D38" s="1223">
        <v>0</v>
      </c>
      <c r="E38" s="1273">
        <f t="shared" si="0"/>
        <v>0</v>
      </c>
    </row>
    <row r="39" spans="1:5" ht="12.75">
      <c r="A39" s="1221">
        <v>120170</v>
      </c>
      <c r="B39" s="1221" t="s">
        <v>972</v>
      </c>
      <c r="C39" s="1222" t="s">
        <v>1059</v>
      </c>
      <c r="D39" s="1223">
        <v>0</v>
      </c>
      <c r="E39" s="1273">
        <f t="shared" si="0"/>
        <v>0</v>
      </c>
    </row>
    <row r="40" spans="1:5" ht="12.75">
      <c r="A40" s="1221">
        <v>120180</v>
      </c>
      <c r="B40" s="1221" t="s">
        <v>972</v>
      </c>
      <c r="C40" s="1222" t="s">
        <v>1060</v>
      </c>
      <c r="D40" s="1223">
        <v>0</v>
      </c>
      <c r="E40" s="1273">
        <f t="shared" si="0"/>
        <v>0</v>
      </c>
    </row>
    <row r="41" spans="1:5" ht="12.75">
      <c r="A41" s="1221">
        <v>120190</v>
      </c>
      <c r="B41" s="1221" t="s">
        <v>972</v>
      </c>
      <c r="C41" s="1222" t="s">
        <v>1061</v>
      </c>
      <c r="D41" s="1223">
        <v>0</v>
      </c>
      <c r="E41" s="1273">
        <f t="shared" si="0"/>
        <v>0</v>
      </c>
    </row>
    <row r="42" spans="1:5" ht="12.75">
      <c r="A42" s="1221">
        <v>120200</v>
      </c>
      <c r="B42" s="1221" t="s">
        <v>972</v>
      </c>
      <c r="C42" s="1222" t="s">
        <v>1062</v>
      </c>
      <c r="D42" s="1223">
        <v>0</v>
      </c>
      <c r="E42" s="1273">
        <f t="shared" si="0"/>
        <v>0</v>
      </c>
    </row>
    <row r="43" spans="1:5" ht="12.75">
      <c r="A43" s="1221">
        <v>120210</v>
      </c>
      <c r="B43" s="1221" t="s">
        <v>972</v>
      </c>
      <c r="C43" s="1222" t="s">
        <v>1063</v>
      </c>
      <c r="D43" s="1223">
        <v>0</v>
      </c>
      <c r="E43" s="1273">
        <f t="shared" si="0"/>
        <v>0</v>
      </c>
    </row>
    <row r="44" spans="1:5" ht="12.75">
      <c r="A44" s="1221">
        <v>120220</v>
      </c>
      <c r="B44" s="1221" t="s">
        <v>972</v>
      </c>
      <c r="C44" s="1222" t="s">
        <v>1065</v>
      </c>
      <c r="D44" s="1223">
        <v>0</v>
      </c>
      <c r="E44" s="1273">
        <f t="shared" si="0"/>
        <v>0</v>
      </c>
    </row>
    <row r="45" spans="1:5" ht="12.75">
      <c r="A45" s="1221">
        <v>120230</v>
      </c>
      <c r="B45" s="1221" t="s">
        <v>972</v>
      </c>
      <c r="C45" s="1222" t="s">
        <v>1066</v>
      </c>
      <c r="D45" s="1223">
        <v>0</v>
      </c>
      <c r="E45" s="1273">
        <f t="shared" si="0"/>
        <v>0</v>
      </c>
    </row>
    <row r="46" spans="1:5" ht="12.75">
      <c r="A46" s="1225">
        <v>120240</v>
      </c>
      <c r="B46" s="1225" t="s">
        <v>972</v>
      </c>
      <c r="C46" s="1226" t="s">
        <v>1067</v>
      </c>
      <c r="D46" s="1227">
        <v>0</v>
      </c>
      <c r="E46" s="1273">
        <f t="shared" si="0"/>
        <v>0</v>
      </c>
    </row>
    <row r="47" spans="1:5" ht="12.75">
      <c r="A47" s="1221">
        <v>120250</v>
      </c>
      <c r="B47" s="1221" t="s">
        <v>972</v>
      </c>
      <c r="C47" s="1222" t="s">
        <v>1068</v>
      </c>
      <c r="D47" s="1223">
        <v>0</v>
      </c>
      <c r="E47" s="1273">
        <f t="shared" si="0"/>
        <v>0</v>
      </c>
    </row>
    <row r="48" spans="1:5" ht="12.75">
      <c r="A48" s="1221">
        <v>125000</v>
      </c>
      <c r="B48" s="1221" t="s">
        <v>972</v>
      </c>
      <c r="C48" s="1222" t="s">
        <v>1069</v>
      </c>
      <c r="D48" s="1223">
        <v>0</v>
      </c>
      <c r="E48" s="1273">
        <f t="shared" si="0"/>
        <v>0</v>
      </c>
    </row>
    <row r="49" spans="1:5" ht="12.75">
      <c r="A49" s="1221">
        <v>125110</v>
      </c>
      <c r="B49" s="1221" t="s">
        <v>972</v>
      </c>
      <c r="C49" s="1222" t="s">
        <v>1070</v>
      </c>
      <c r="D49" s="1223">
        <v>0</v>
      </c>
      <c r="E49" s="1275">
        <f>SUM(D50:D51)</f>
        <v>220806812.94</v>
      </c>
    </row>
    <row r="50" spans="1:5" ht="12.75">
      <c r="A50" s="1221"/>
      <c r="B50" s="1221">
        <v>30</v>
      </c>
      <c r="C50" s="1229" t="s">
        <v>1071</v>
      </c>
      <c r="D50" s="1223">
        <v>114893561</v>
      </c>
      <c r="E50" s="1273" t="str">
        <f>IF(A50&gt;0,D50,"No")</f>
        <v>No</v>
      </c>
    </row>
    <row r="51" spans="1:5" ht="12.75">
      <c r="A51" s="1221"/>
      <c r="B51" s="1221">
        <v>40</v>
      </c>
      <c r="C51" s="1229" t="s">
        <v>1072</v>
      </c>
      <c r="D51" s="1223">
        <v>105913251.94</v>
      </c>
      <c r="E51" s="1273" t="str">
        <f>IF(A51&gt;0,D51,"No")</f>
        <v>No</v>
      </c>
    </row>
    <row r="52" spans="1:5" ht="12.75">
      <c r="A52" s="1221">
        <v>125120</v>
      </c>
      <c r="B52" s="1221" t="s">
        <v>972</v>
      </c>
      <c r="C52" s="1222" t="s">
        <v>1073</v>
      </c>
      <c r="D52" s="1223">
        <v>0</v>
      </c>
      <c r="E52" s="1275">
        <f>SUM(D53:D54)</f>
        <v>141666205.44</v>
      </c>
    </row>
    <row r="53" spans="1:5" ht="12.75">
      <c r="A53" s="1221"/>
      <c r="B53" s="1221">
        <v>30</v>
      </c>
      <c r="C53" s="1229" t="s">
        <v>1071</v>
      </c>
      <c r="D53" s="1223">
        <v>135664722.1</v>
      </c>
      <c r="E53" s="1273" t="str">
        <f>IF(A53&gt;0,D53,"No")</f>
        <v>No</v>
      </c>
    </row>
    <row r="54" spans="1:5" ht="12.75">
      <c r="A54" s="1221"/>
      <c r="B54" s="1221">
        <v>40</v>
      </c>
      <c r="C54" s="1229" t="s">
        <v>1072</v>
      </c>
      <c r="D54" s="1223">
        <v>6001483.34</v>
      </c>
      <c r="E54" s="1273" t="str">
        <f>IF(A54&gt;0,D54,"No")</f>
        <v>No</v>
      </c>
    </row>
    <row r="55" spans="1:5" ht="12.75">
      <c r="A55" s="1221">
        <v>125121</v>
      </c>
      <c r="B55" s="1221" t="s">
        <v>972</v>
      </c>
      <c r="C55" s="1222" t="s">
        <v>1074</v>
      </c>
      <c r="D55" s="1223">
        <v>0</v>
      </c>
      <c r="E55" s="1275">
        <f>SUM(D56:D57)</f>
        <v>4033057.6</v>
      </c>
    </row>
    <row r="56" spans="1:5" ht="12.75">
      <c r="A56" s="1221"/>
      <c r="B56" s="1221">
        <v>30</v>
      </c>
      <c r="C56" s="1229" t="s">
        <v>1071</v>
      </c>
      <c r="D56" s="1223">
        <v>4033057.6</v>
      </c>
      <c r="E56" s="1273" t="str">
        <f>IF(A56&gt;0,D56,"No")</f>
        <v>No</v>
      </c>
    </row>
    <row r="57" spans="1:5" ht="12.75">
      <c r="A57" s="1221"/>
      <c r="B57" s="1221">
        <v>40</v>
      </c>
      <c r="C57" s="1229" t="s">
        <v>1072</v>
      </c>
      <c r="D57" s="1223">
        <v>0</v>
      </c>
      <c r="E57" s="1273" t="str">
        <f>IF(A57&gt;0,D57,"No")</f>
        <v>No</v>
      </c>
    </row>
    <row r="58" spans="1:5" ht="12.75">
      <c r="A58" s="1221">
        <v>125130</v>
      </c>
      <c r="B58" s="1221" t="s">
        <v>972</v>
      </c>
      <c r="C58" s="1222" t="s">
        <v>1075</v>
      </c>
      <c r="D58" s="1223">
        <v>0</v>
      </c>
      <c r="E58" s="1273">
        <f>IF(A58&gt;0,D58,"No")</f>
        <v>0</v>
      </c>
    </row>
    <row r="59" spans="1:5" ht="12.75">
      <c r="A59" s="1221">
        <v>125140</v>
      </c>
      <c r="B59" s="1221" t="s">
        <v>972</v>
      </c>
      <c r="C59" s="1222" t="s">
        <v>1076</v>
      </c>
      <c r="D59" s="1223">
        <v>0</v>
      </c>
      <c r="E59" s="1275">
        <f>SUM(D60:D62)</f>
        <v>0</v>
      </c>
    </row>
    <row r="60" spans="1:5" ht="12.75">
      <c r="A60" s="1221"/>
      <c r="B60" s="1221">
        <v>51</v>
      </c>
      <c r="C60" s="1229" t="s">
        <v>1077</v>
      </c>
      <c r="D60" s="1223">
        <v>0</v>
      </c>
      <c r="E60" s="1273" t="str">
        <f>IF(A60&gt;0,D60,"No")</f>
        <v>No</v>
      </c>
    </row>
    <row r="61" spans="1:5" ht="12.75">
      <c r="A61" s="1221"/>
      <c r="B61" s="1221">
        <v>52</v>
      </c>
      <c r="C61" s="1229" t="s">
        <v>1078</v>
      </c>
      <c r="D61" s="1223">
        <v>0</v>
      </c>
      <c r="E61" s="1273" t="str">
        <f>IF(A61&gt;0,D61,"No")</f>
        <v>No</v>
      </c>
    </row>
    <row r="62" spans="1:5" ht="12.75">
      <c r="A62" s="1221"/>
      <c r="B62" s="1221">
        <v>53</v>
      </c>
      <c r="C62" s="1229" t="s">
        <v>1079</v>
      </c>
      <c r="D62" s="1223">
        <v>0</v>
      </c>
      <c r="E62" s="1273" t="str">
        <f>IF(A62&gt;0,D62,"No")</f>
        <v>No</v>
      </c>
    </row>
    <row r="63" spans="1:5" ht="12.75">
      <c r="A63" s="1221">
        <v>125200</v>
      </c>
      <c r="B63" s="1221" t="s">
        <v>972</v>
      </c>
      <c r="C63" s="1222" t="s">
        <v>1080</v>
      </c>
      <c r="D63" s="1223">
        <v>0</v>
      </c>
      <c r="E63" s="1275">
        <f>SUM(D64:D65)</f>
        <v>-633094.98</v>
      </c>
    </row>
    <row r="64" spans="1:5" ht="12.75">
      <c r="A64" s="1221"/>
      <c r="B64" s="1221">
        <v>30</v>
      </c>
      <c r="C64" s="1229" t="s">
        <v>1071</v>
      </c>
      <c r="D64" s="1223">
        <v>-633094.98</v>
      </c>
      <c r="E64" s="1273" t="str">
        <f>IF(A64&gt;0,D64,"No")</f>
        <v>No</v>
      </c>
    </row>
    <row r="65" spans="1:5" ht="12.75">
      <c r="A65" s="1221"/>
      <c r="B65" s="1221">
        <v>40</v>
      </c>
      <c r="C65" s="1229" t="s">
        <v>1072</v>
      </c>
      <c r="D65" s="1223">
        <v>0</v>
      </c>
      <c r="E65" s="1273" t="str">
        <f>IF(A65&gt;0,D65,"No")</f>
        <v>No</v>
      </c>
    </row>
    <row r="66" spans="1:5" ht="12.75">
      <c r="A66" s="1221">
        <v>130000</v>
      </c>
      <c r="B66" s="1221" t="s">
        <v>972</v>
      </c>
      <c r="C66" s="1222" t="s">
        <v>1081</v>
      </c>
      <c r="D66" s="1223">
        <v>0</v>
      </c>
      <c r="E66" s="1273">
        <f>IF(A66&gt;0,D66,"No")</f>
        <v>0</v>
      </c>
    </row>
    <row r="67" spans="1:5" ht="12.75">
      <c r="A67" s="1221">
        <v>130110</v>
      </c>
      <c r="B67" s="1221" t="s">
        <v>972</v>
      </c>
      <c r="C67" s="1222" t="s">
        <v>1082</v>
      </c>
      <c r="D67" s="1223">
        <v>0</v>
      </c>
      <c r="E67" s="1275">
        <f>SUM(D68)</f>
        <v>0</v>
      </c>
    </row>
    <row r="68" spans="1:5" ht="12.75">
      <c r="A68" s="1221"/>
      <c r="B68" s="1221">
        <v>30</v>
      </c>
      <c r="C68" s="1229" t="s">
        <v>1071</v>
      </c>
      <c r="D68" s="1223">
        <v>0</v>
      </c>
      <c r="E68" s="1273" t="str">
        <f>IF(A68&gt;0,D68,"No")</f>
        <v>No</v>
      </c>
    </row>
    <row r="69" spans="1:5" ht="12.75">
      <c r="A69" s="1221">
        <v>130120</v>
      </c>
      <c r="B69" s="1221" t="s">
        <v>972</v>
      </c>
      <c r="C69" s="1222" t="s">
        <v>1083</v>
      </c>
      <c r="D69" s="1223">
        <v>0</v>
      </c>
      <c r="E69" s="1273">
        <f>IF(A69&gt;0,D69,"No")</f>
        <v>0</v>
      </c>
    </row>
    <row r="70" spans="1:5" ht="12.75">
      <c r="A70" s="1221">
        <v>135000</v>
      </c>
      <c r="B70" s="1221" t="s">
        <v>972</v>
      </c>
      <c r="C70" s="1222" t="s">
        <v>1084</v>
      </c>
      <c r="D70" s="1223">
        <v>0</v>
      </c>
      <c r="E70" s="1273">
        <f>IF(A70&gt;0,D70,"No")</f>
        <v>0</v>
      </c>
    </row>
    <row r="71" spans="1:5" ht="12.75">
      <c r="A71" s="1230">
        <v>135110</v>
      </c>
      <c r="B71" s="1230" t="s">
        <v>972</v>
      </c>
      <c r="C71" s="1231" t="s">
        <v>1085</v>
      </c>
      <c r="D71" s="1232">
        <v>0</v>
      </c>
      <c r="E71" s="1275">
        <f>SUM(D72:D73)</f>
        <v>30724870.73</v>
      </c>
    </row>
    <row r="72" spans="1:5" ht="12.75">
      <c r="A72" s="1230"/>
      <c r="B72" s="1230">
        <v>30</v>
      </c>
      <c r="C72" s="1233" t="s">
        <v>1071</v>
      </c>
      <c r="D72" s="1232">
        <v>13954383.68</v>
      </c>
      <c r="E72" s="1273" t="str">
        <f>IF(A72&gt;0,D72,"No")</f>
        <v>No</v>
      </c>
    </row>
    <row r="73" spans="1:5" ht="12.75">
      <c r="A73" s="1230"/>
      <c r="B73" s="1230">
        <v>40</v>
      </c>
      <c r="C73" s="1233" t="s">
        <v>1072</v>
      </c>
      <c r="D73" s="1232">
        <v>16770487.05</v>
      </c>
      <c r="E73" s="1273" t="str">
        <f>IF(A73&gt;0,D73,"No")</f>
        <v>No</v>
      </c>
    </row>
    <row r="74" spans="1:5" ht="12.75">
      <c r="A74" s="1230">
        <v>135120</v>
      </c>
      <c r="B74" s="1230" t="s">
        <v>972</v>
      </c>
      <c r="C74" s="1231" t="s">
        <v>1086</v>
      </c>
      <c r="D74" s="1223">
        <v>0</v>
      </c>
      <c r="E74" s="1275">
        <f>SUM(D75:D76)</f>
        <v>40053137.49</v>
      </c>
    </row>
    <row r="75" spans="1:5" ht="12.75">
      <c r="A75" s="1230"/>
      <c r="B75" s="1230">
        <v>30</v>
      </c>
      <c r="C75" s="1233" t="s">
        <v>1071</v>
      </c>
      <c r="D75" s="1223">
        <v>21881078.85</v>
      </c>
      <c r="E75" s="1273" t="str">
        <f aca="true" t="shared" si="1" ref="E75:E81">IF(A75&gt;0,D75,"No")</f>
        <v>No</v>
      </c>
    </row>
    <row r="76" spans="1:5" ht="12.75">
      <c r="A76" s="1230"/>
      <c r="B76" s="1230">
        <v>40</v>
      </c>
      <c r="C76" s="1233" t="s">
        <v>1072</v>
      </c>
      <c r="D76" s="1223">
        <v>18172058.64</v>
      </c>
      <c r="E76" s="1273" t="str">
        <f t="shared" si="1"/>
        <v>No</v>
      </c>
    </row>
    <row r="77" spans="1:5" ht="12.75">
      <c r="A77" s="1221">
        <v>135130</v>
      </c>
      <c r="B77" s="1221" t="s">
        <v>972</v>
      </c>
      <c r="C77" s="1222" t="s">
        <v>1087</v>
      </c>
      <c r="D77" s="1223">
        <v>13797806.450000001</v>
      </c>
      <c r="E77" s="1273">
        <f t="shared" si="1"/>
        <v>13797806.450000001</v>
      </c>
    </row>
    <row r="78" spans="1:5" ht="12.75">
      <c r="A78" s="1221">
        <v>135140</v>
      </c>
      <c r="B78" s="1221" t="s">
        <v>972</v>
      </c>
      <c r="C78" s="1222" t="s">
        <v>1088</v>
      </c>
      <c r="D78" s="1223">
        <v>1815086.21</v>
      </c>
      <c r="E78" s="1273">
        <f t="shared" si="1"/>
        <v>1815086.21</v>
      </c>
    </row>
    <row r="79" spans="1:5" ht="12.75">
      <c r="A79" s="1221">
        <v>135150</v>
      </c>
      <c r="B79" s="1221" t="s">
        <v>972</v>
      </c>
      <c r="C79" s="1222" t="s">
        <v>1089</v>
      </c>
      <c r="D79" s="1223">
        <v>455314.85</v>
      </c>
      <c r="E79" s="1273">
        <f t="shared" si="1"/>
        <v>455314.85</v>
      </c>
    </row>
    <row r="80" spans="1:5" ht="12.75">
      <c r="A80" s="1221">
        <v>135160</v>
      </c>
      <c r="B80" s="1221" t="s">
        <v>972</v>
      </c>
      <c r="C80" s="1222" t="s">
        <v>1090</v>
      </c>
      <c r="D80" s="1223">
        <v>11028321.32</v>
      </c>
      <c r="E80" s="1273">
        <f t="shared" si="1"/>
        <v>11028321.32</v>
      </c>
    </row>
    <row r="81" spans="1:5" ht="12.75">
      <c r="A81" s="1230">
        <v>135170</v>
      </c>
      <c r="B81" s="1230" t="s">
        <v>972</v>
      </c>
      <c r="C81" s="1231" t="s">
        <v>1091</v>
      </c>
      <c r="D81" s="1223">
        <v>0</v>
      </c>
      <c r="E81" s="1273">
        <f t="shared" si="1"/>
        <v>0</v>
      </c>
    </row>
    <row r="82" spans="1:5" ht="12.75">
      <c r="A82" s="1221">
        <v>136000</v>
      </c>
      <c r="B82" s="1221" t="s">
        <v>972</v>
      </c>
      <c r="C82" s="1234" t="s">
        <v>1092</v>
      </c>
      <c r="D82" s="1223">
        <v>0</v>
      </c>
      <c r="E82" s="1275">
        <f>SUM(D83:D84)</f>
        <v>4896768.66</v>
      </c>
    </row>
    <row r="83" spans="1:5" ht="12.75">
      <c r="A83" s="1221"/>
      <c r="B83" s="1221">
        <v>30</v>
      </c>
      <c r="C83" s="1229" t="s">
        <v>1071</v>
      </c>
      <c r="D83" s="1223">
        <v>4896768.66</v>
      </c>
      <c r="E83" s="1273" t="str">
        <f>IF(A83&gt;0,D83,"No")</f>
        <v>No</v>
      </c>
    </row>
    <row r="84" spans="1:5" ht="12.75">
      <c r="A84" s="1221"/>
      <c r="B84" s="1221">
        <v>40</v>
      </c>
      <c r="C84" s="1229" t="s">
        <v>1072</v>
      </c>
      <c r="D84" s="1223">
        <v>0</v>
      </c>
      <c r="E84" s="1273" t="str">
        <f>IF(A84&gt;0,D84,"No")</f>
        <v>No</v>
      </c>
    </row>
    <row r="85" spans="1:5" ht="12.75">
      <c r="A85" s="1221">
        <v>136001</v>
      </c>
      <c r="B85" s="1221" t="s">
        <v>972</v>
      </c>
      <c r="C85" s="1234" t="s">
        <v>1093</v>
      </c>
      <c r="D85" s="1223">
        <v>0</v>
      </c>
      <c r="E85" s="1275">
        <f>SUM(D86:D88)</f>
        <v>0</v>
      </c>
    </row>
    <row r="86" spans="1:5" ht="12.75">
      <c r="A86" s="1221"/>
      <c r="B86" s="1221">
        <v>51</v>
      </c>
      <c r="C86" s="1229" t="s">
        <v>1077</v>
      </c>
      <c r="D86" s="1223">
        <v>0</v>
      </c>
      <c r="E86" s="1273" t="str">
        <f>IF(A86&gt;0,D86,"No")</f>
        <v>No</v>
      </c>
    </row>
    <row r="87" spans="1:5" ht="12.75">
      <c r="A87" s="1221"/>
      <c r="B87" s="1221">
        <v>52</v>
      </c>
      <c r="C87" s="1229" t="s">
        <v>1078</v>
      </c>
      <c r="D87" s="1223">
        <v>0</v>
      </c>
      <c r="E87" s="1273" t="str">
        <f>IF(A87&gt;0,D87,"No")</f>
        <v>No</v>
      </c>
    </row>
    <row r="88" spans="1:5" ht="12.75">
      <c r="A88" s="1221"/>
      <c r="B88" s="1221">
        <v>53</v>
      </c>
      <c r="C88" s="1229" t="s">
        <v>1079</v>
      </c>
      <c r="D88" s="1223">
        <v>0</v>
      </c>
      <c r="E88" s="1273" t="str">
        <f>IF(A88&gt;0,D88,"No")</f>
        <v>No</v>
      </c>
    </row>
    <row r="89" spans="1:5" ht="12.75">
      <c r="A89" s="1221">
        <v>136100</v>
      </c>
      <c r="B89" s="1221" t="s">
        <v>972</v>
      </c>
      <c r="C89" s="1222" t="s">
        <v>1094</v>
      </c>
      <c r="D89" s="1223">
        <v>0</v>
      </c>
      <c r="E89" s="1275">
        <f>SUM(D90)</f>
        <v>0</v>
      </c>
    </row>
    <row r="90" spans="1:5" ht="12.75">
      <c r="A90" s="1221"/>
      <c r="B90" s="1221">
        <v>30</v>
      </c>
      <c r="C90" s="1229" t="s">
        <v>1071</v>
      </c>
      <c r="D90" s="1223">
        <v>0</v>
      </c>
      <c r="E90" s="1273" t="str">
        <f>IF(A90&gt;0,D90,"No")</f>
        <v>No</v>
      </c>
    </row>
    <row r="91" spans="1:5" ht="12.75">
      <c r="A91" s="1221">
        <v>137000</v>
      </c>
      <c r="B91" s="1221" t="s">
        <v>972</v>
      </c>
      <c r="C91" s="1222" t="s">
        <v>1095</v>
      </c>
      <c r="D91" s="1223">
        <v>0</v>
      </c>
      <c r="E91" s="1275">
        <f>SUM(D92:D93)</f>
        <v>-3198885.4800000004</v>
      </c>
    </row>
    <row r="92" spans="1:5" ht="12.75">
      <c r="A92" s="1221"/>
      <c r="B92" s="1221">
        <v>30</v>
      </c>
      <c r="C92" s="1229" t="s">
        <v>1071</v>
      </c>
      <c r="D92" s="1223">
        <v>-975372.99</v>
      </c>
      <c r="E92" s="1273" t="str">
        <f>IF(A92&gt;0,D92,"No")</f>
        <v>No</v>
      </c>
    </row>
    <row r="93" spans="1:5" ht="12.75">
      <c r="A93" s="1235"/>
      <c r="B93" s="1235">
        <v>40</v>
      </c>
      <c r="C93" s="1236" t="s">
        <v>1072</v>
      </c>
      <c r="D93" s="1237">
        <v>-2223512.49</v>
      </c>
      <c r="E93" s="1273" t="str">
        <f>IF(A93&gt;0,D93,"No")</f>
        <v>No</v>
      </c>
    </row>
    <row r="94" spans="1:5" ht="12.75">
      <c r="A94" s="1221">
        <v>140000</v>
      </c>
      <c r="B94" s="1221" t="s">
        <v>972</v>
      </c>
      <c r="C94" s="1238" t="s">
        <v>1096</v>
      </c>
      <c r="D94" s="1223">
        <v>0</v>
      </c>
      <c r="E94" s="1273">
        <f>IF(A94&gt;0,D94,"No")</f>
        <v>0</v>
      </c>
    </row>
    <row r="95" spans="1:5" ht="12.75">
      <c r="A95" s="1221">
        <v>141000</v>
      </c>
      <c r="B95" s="1221" t="s">
        <v>972</v>
      </c>
      <c r="C95" s="1222" t="s">
        <v>1097</v>
      </c>
      <c r="D95" s="1223">
        <v>0</v>
      </c>
      <c r="E95" s="1275">
        <f>SUM(D96)</f>
        <v>10199191.02</v>
      </c>
    </row>
    <row r="96" spans="1:5" ht="12.75">
      <c r="A96" s="1221"/>
      <c r="B96" s="1221">
        <v>30</v>
      </c>
      <c r="C96" s="1229" t="s">
        <v>1071</v>
      </c>
      <c r="D96" s="1223">
        <v>10199191.02</v>
      </c>
      <c r="E96" s="1273" t="str">
        <f>IF(A96&gt;0,D96,"No")</f>
        <v>No</v>
      </c>
    </row>
    <row r="97" spans="1:5" ht="12.75">
      <c r="A97" s="1221">
        <v>142000</v>
      </c>
      <c r="B97" s="1221" t="s">
        <v>972</v>
      </c>
      <c r="C97" s="1222" t="s">
        <v>1098</v>
      </c>
      <c r="D97" s="1223">
        <v>0</v>
      </c>
      <c r="E97" s="1273">
        <f>IF(A97&gt;0,D97,"No")</f>
        <v>0</v>
      </c>
    </row>
    <row r="98" spans="1:5" ht="12.75">
      <c r="A98" s="1221">
        <v>142110</v>
      </c>
      <c r="B98" s="1221" t="s">
        <v>972</v>
      </c>
      <c r="C98" s="1222" t="s">
        <v>1110</v>
      </c>
      <c r="D98" s="1223">
        <v>106116.58</v>
      </c>
      <c r="E98" s="1276">
        <f>IF(A98&gt;0,D98,"No")</f>
        <v>106116.58</v>
      </c>
    </row>
    <row r="99" spans="1:5" ht="12.75">
      <c r="A99" s="1221">
        <v>142111</v>
      </c>
      <c r="B99" s="1221" t="s">
        <v>972</v>
      </c>
      <c r="C99" s="1222" t="s">
        <v>1111</v>
      </c>
      <c r="D99" s="1223">
        <v>0</v>
      </c>
      <c r="E99" s="1275">
        <f>SUM(D100)</f>
        <v>1140948.01</v>
      </c>
    </row>
    <row r="100" spans="1:5" ht="12.75">
      <c r="A100" s="1221"/>
      <c r="B100" s="1221">
        <v>30</v>
      </c>
      <c r="C100" s="1229" t="s">
        <v>1071</v>
      </c>
      <c r="D100" s="1223">
        <v>1140948.01</v>
      </c>
      <c r="E100" s="1273" t="str">
        <f>IF(A100&gt;0,D100,"No")</f>
        <v>No</v>
      </c>
    </row>
    <row r="101" spans="1:5" ht="12.75">
      <c r="A101" s="1221">
        <v>143000</v>
      </c>
      <c r="B101" s="1221" t="s">
        <v>972</v>
      </c>
      <c r="C101" s="1222" t="s">
        <v>1112</v>
      </c>
      <c r="D101" s="1223">
        <v>0</v>
      </c>
      <c r="E101" s="1224">
        <f>IF(A101&gt;0,D101,"No")</f>
        <v>0</v>
      </c>
    </row>
    <row r="102" spans="1:5" ht="12.75">
      <c r="A102" s="1225">
        <v>143110</v>
      </c>
      <c r="B102" s="1225" t="s">
        <v>972</v>
      </c>
      <c r="C102" s="1226" t="s">
        <v>1113</v>
      </c>
      <c r="D102" s="1227">
        <v>0</v>
      </c>
      <c r="E102" s="1224">
        <f>IF(A102&gt;0,D102,"No")</f>
        <v>0</v>
      </c>
    </row>
    <row r="103" spans="1:5" ht="12.75">
      <c r="A103" s="1230">
        <v>143120</v>
      </c>
      <c r="B103" s="1230" t="s">
        <v>972</v>
      </c>
      <c r="C103" s="1231" t="s">
        <v>1114</v>
      </c>
      <c r="D103" s="1232">
        <v>186676.84</v>
      </c>
      <c r="E103" s="1224">
        <f>IF(A103&gt;0,D103,"No")</f>
        <v>186676.84</v>
      </c>
    </row>
    <row r="104" spans="1:5" ht="12.75">
      <c r="A104" s="1221">
        <v>143130</v>
      </c>
      <c r="B104" s="1221" t="s">
        <v>972</v>
      </c>
      <c r="C104" s="1222" t="s">
        <v>1118</v>
      </c>
      <c r="D104" s="1223">
        <v>0</v>
      </c>
      <c r="E104" s="1228">
        <f>SUM(D105:D106)</f>
        <v>1693573.81</v>
      </c>
    </row>
    <row r="105" spans="1:5" ht="12.75">
      <c r="A105" s="1221"/>
      <c r="B105" s="1221">
        <v>30</v>
      </c>
      <c r="C105" s="1229" t="s">
        <v>1071</v>
      </c>
      <c r="D105" s="1223">
        <v>909431.36</v>
      </c>
      <c r="E105" s="1224" t="str">
        <f>IF(A105&gt;0,D105,"No")</f>
        <v>No</v>
      </c>
    </row>
    <row r="106" spans="1:5" ht="12.75">
      <c r="A106" s="1221"/>
      <c r="B106" s="1221">
        <v>40</v>
      </c>
      <c r="C106" s="1229" t="s">
        <v>1072</v>
      </c>
      <c r="D106" s="1223">
        <v>784142.45</v>
      </c>
      <c r="E106" s="1224" t="str">
        <f>IF(A106&gt;0,D106,"No")</f>
        <v>No</v>
      </c>
    </row>
    <row r="107" spans="1:5" ht="12.75">
      <c r="A107" s="1221">
        <v>143131</v>
      </c>
      <c r="B107" s="1221" t="s">
        <v>972</v>
      </c>
      <c r="C107" s="1222" t="s">
        <v>1119</v>
      </c>
      <c r="D107" s="1223">
        <v>0</v>
      </c>
      <c r="E107" s="1224">
        <f>IF(A107&gt;0,D107,"No")</f>
        <v>0</v>
      </c>
    </row>
    <row r="108" spans="1:5" ht="12.75">
      <c r="A108" s="1221">
        <v>143140</v>
      </c>
      <c r="B108" s="1221" t="s">
        <v>972</v>
      </c>
      <c r="C108" s="1222" t="s">
        <v>1122</v>
      </c>
      <c r="D108" s="1223">
        <v>0</v>
      </c>
      <c r="E108" s="1224">
        <f>IF(A108&gt;0,D108,"No")</f>
        <v>0</v>
      </c>
    </row>
    <row r="109" spans="1:5" ht="12.75">
      <c r="A109" s="1221">
        <v>143150</v>
      </c>
      <c r="B109" s="1221" t="s">
        <v>972</v>
      </c>
      <c r="C109" s="1222" t="s">
        <v>1124</v>
      </c>
      <c r="D109" s="1223">
        <v>0</v>
      </c>
      <c r="E109" s="1224">
        <f>IF(A109&gt;0,D109,"No")</f>
        <v>0</v>
      </c>
    </row>
    <row r="110" spans="1:5" ht="12.75">
      <c r="A110" s="1221">
        <v>143160</v>
      </c>
      <c r="B110" s="1221" t="s">
        <v>972</v>
      </c>
      <c r="C110" s="1222" t="s">
        <v>820</v>
      </c>
      <c r="D110" s="1223">
        <v>0</v>
      </c>
      <c r="E110" s="1228">
        <f>SUM(D111:D112)</f>
        <v>71577.49</v>
      </c>
    </row>
    <row r="111" spans="1:5" ht="12.75">
      <c r="A111" s="1221"/>
      <c r="B111" s="1221">
        <v>30</v>
      </c>
      <c r="C111" s="1229" t="s">
        <v>1071</v>
      </c>
      <c r="D111" s="1223">
        <v>35788.55</v>
      </c>
      <c r="E111" s="1224" t="str">
        <f>IF(A111&gt;0,D111,"No")</f>
        <v>No</v>
      </c>
    </row>
    <row r="112" spans="1:5" ht="12.75">
      <c r="A112" s="1221"/>
      <c r="B112" s="1221">
        <v>40</v>
      </c>
      <c r="C112" s="1229" t="s">
        <v>1072</v>
      </c>
      <c r="D112" s="1223">
        <v>35788.94</v>
      </c>
      <c r="E112" s="1224" t="str">
        <f>IF(A112&gt;0,D112,"No")</f>
        <v>No</v>
      </c>
    </row>
    <row r="113" spans="1:5" ht="12.75">
      <c r="A113" s="1221">
        <v>143170</v>
      </c>
      <c r="B113" s="1221" t="s">
        <v>972</v>
      </c>
      <c r="C113" s="1222" t="s">
        <v>1125</v>
      </c>
      <c r="D113" s="1223">
        <v>0</v>
      </c>
      <c r="E113" s="1224">
        <f>IF(A113&gt;0,D113,"No")</f>
        <v>0</v>
      </c>
    </row>
    <row r="114" spans="1:5" ht="12.75">
      <c r="A114" s="1221">
        <v>143180</v>
      </c>
      <c r="B114" s="1221" t="s">
        <v>972</v>
      </c>
      <c r="C114" s="1222" t="s">
        <v>1126</v>
      </c>
      <c r="D114" s="1223">
        <v>0</v>
      </c>
      <c r="E114" s="1228">
        <f>SUM(D115:D116)</f>
        <v>1102090.67</v>
      </c>
    </row>
    <row r="115" spans="1:5" ht="12.75">
      <c r="A115" s="1221"/>
      <c r="B115" s="1221">
        <v>30</v>
      </c>
      <c r="C115" s="1229" t="s">
        <v>1071</v>
      </c>
      <c r="D115" s="1223">
        <v>854424.58</v>
      </c>
      <c r="E115" s="1224" t="str">
        <f>IF(A115&gt;0,D115,"No")</f>
        <v>No</v>
      </c>
    </row>
    <row r="116" spans="1:5" ht="12.75">
      <c r="A116" s="1221"/>
      <c r="B116" s="1221">
        <v>40</v>
      </c>
      <c r="C116" s="1229" t="s">
        <v>1072</v>
      </c>
      <c r="D116" s="1223">
        <v>247666.09</v>
      </c>
      <c r="E116" s="1224" t="str">
        <f>IF(A116&gt;0,D116,"No")</f>
        <v>No</v>
      </c>
    </row>
    <row r="117" spans="1:5" ht="12.75">
      <c r="A117" s="1221">
        <v>143190</v>
      </c>
      <c r="B117" s="1221" t="s">
        <v>972</v>
      </c>
      <c r="C117" s="1222" t="s">
        <v>1127</v>
      </c>
      <c r="D117" s="1223">
        <v>0</v>
      </c>
      <c r="E117" s="1228">
        <f>SUM(D118:D119)</f>
        <v>0</v>
      </c>
    </row>
    <row r="118" spans="1:5" ht="12.75">
      <c r="A118" s="1221"/>
      <c r="B118" s="1221">
        <v>30</v>
      </c>
      <c r="C118" s="1229" t="s">
        <v>1071</v>
      </c>
      <c r="D118" s="1223">
        <v>0</v>
      </c>
      <c r="E118" s="1224" t="str">
        <f>IF(A118&gt;0,D118,"No")</f>
        <v>No</v>
      </c>
    </row>
    <row r="119" spans="1:5" ht="12.75">
      <c r="A119" s="1221"/>
      <c r="B119" s="1221">
        <v>40</v>
      </c>
      <c r="C119" s="1229" t="s">
        <v>1072</v>
      </c>
      <c r="D119" s="1223">
        <v>0</v>
      </c>
      <c r="E119" s="1224" t="str">
        <f>IF(A119&gt;0,D119,"No")</f>
        <v>No</v>
      </c>
    </row>
    <row r="120" spans="1:5" ht="12.75">
      <c r="A120" s="1221">
        <v>143191</v>
      </c>
      <c r="B120" s="1221" t="s">
        <v>972</v>
      </c>
      <c r="C120" s="1222" t="s">
        <v>1128</v>
      </c>
      <c r="D120" s="1223">
        <v>0</v>
      </c>
      <c r="E120" s="1228">
        <f>SUM(D121:D123)</f>
        <v>0</v>
      </c>
    </row>
    <row r="121" spans="1:5" ht="12.75">
      <c r="A121" s="1221"/>
      <c r="B121" s="1221">
        <v>51</v>
      </c>
      <c r="C121" s="1229" t="s">
        <v>1077</v>
      </c>
      <c r="D121" s="1223">
        <v>0</v>
      </c>
      <c r="E121" s="1224" t="str">
        <f>IF(A121&gt;0,D121,"No")</f>
        <v>No</v>
      </c>
    </row>
    <row r="122" spans="1:5" ht="12.75">
      <c r="A122" s="1221"/>
      <c r="B122" s="1221">
        <v>52</v>
      </c>
      <c r="C122" s="1229" t="s">
        <v>1078</v>
      </c>
      <c r="D122" s="1223">
        <v>0</v>
      </c>
      <c r="E122" s="1224" t="str">
        <f>IF(A122&gt;0,D122,"No")</f>
        <v>No</v>
      </c>
    </row>
    <row r="123" spans="1:5" ht="12.75">
      <c r="A123" s="1221"/>
      <c r="B123" s="1221">
        <v>53</v>
      </c>
      <c r="C123" s="1229" t="s">
        <v>1079</v>
      </c>
      <c r="D123" s="1223">
        <v>0</v>
      </c>
      <c r="E123" s="1224" t="str">
        <f>IF(A123&gt;0,D123,"No")</f>
        <v>No</v>
      </c>
    </row>
    <row r="124" spans="1:5" ht="12.75">
      <c r="A124" s="1221">
        <v>143200</v>
      </c>
      <c r="B124" s="1221" t="s">
        <v>972</v>
      </c>
      <c r="C124" s="1239" t="s">
        <v>1132</v>
      </c>
      <c r="D124" s="1223">
        <v>0</v>
      </c>
      <c r="E124" s="1228">
        <f>SUM(D125:D126)</f>
        <v>18456.17</v>
      </c>
    </row>
    <row r="125" spans="1:5" ht="12.75">
      <c r="A125" s="1221"/>
      <c r="B125" s="1221">
        <v>30</v>
      </c>
      <c r="C125" s="1229" t="s">
        <v>1071</v>
      </c>
      <c r="D125" s="1223">
        <v>9228</v>
      </c>
      <c r="E125" s="1224" t="str">
        <f>IF(A125&gt;0,D125,"No")</f>
        <v>No</v>
      </c>
    </row>
    <row r="126" spans="1:5" ht="12.75">
      <c r="A126" s="1221"/>
      <c r="B126" s="1221">
        <v>40</v>
      </c>
      <c r="C126" s="1229" t="s">
        <v>1072</v>
      </c>
      <c r="D126" s="1223">
        <v>9228.17</v>
      </c>
      <c r="E126" s="1224" t="str">
        <f>IF(A126&gt;0,D126,"No")</f>
        <v>No</v>
      </c>
    </row>
    <row r="127" spans="1:5" ht="12.75">
      <c r="A127" s="1221">
        <v>143201</v>
      </c>
      <c r="B127" s="1221" t="s">
        <v>972</v>
      </c>
      <c r="C127" s="1239" t="s">
        <v>1133</v>
      </c>
      <c r="D127" s="1223">
        <v>0</v>
      </c>
      <c r="E127" s="1228">
        <f>SUM(D128:D129)</f>
        <v>174316.94</v>
      </c>
    </row>
    <row r="128" spans="1:5" ht="12.75">
      <c r="A128" s="1221"/>
      <c r="B128" s="1221">
        <v>30</v>
      </c>
      <c r="C128" s="1229" t="s">
        <v>1071</v>
      </c>
      <c r="D128" s="1223">
        <v>87158.47</v>
      </c>
      <c r="E128" s="1224" t="str">
        <f>IF(A128&gt;0,D128,"No")</f>
        <v>No</v>
      </c>
    </row>
    <row r="129" spans="1:5" ht="12.75">
      <c r="A129" s="1221"/>
      <c r="B129" s="1221">
        <v>40</v>
      </c>
      <c r="C129" s="1229" t="s">
        <v>1072</v>
      </c>
      <c r="D129" s="1223">
        <v>87158.47</v>
      </c>
      <c r="E129" s="1224" t="str">
        <f>IF(A129&gt;0,D129,"No")</f>
        <v>No</v>
      </c>
    </row>
    <row r="130" spans="1:5" ht="12.75">
      <c r="A130" s="1221">
        <v>144000</v>
      </c>
      <c r="B130" s="1221" t="s">
        <v>972</v>
      </c>
      <c r="C130" s="1222" t="s">
        <v>821</v>
      </c>
      <c r="D130" s="1223">
        <v>0</v>
      </c>
      <c r="E130" s="1275">
        <f>SUM(D131:D132)</f>
        <v>66812.77</v>
      </c>
    </row>
    <row r="131" spans="1:5" ht="12.75">
      <c r="A131" s="1221"/>
      <c r="B131" s="1221">
        <v>30</v>
      </c>
      <c r="C131" s="1229" t="s">
        <v>1071</v>
      </c>
      <c r="D131" s="1223">
        <v>66812.77</v>
      </c>
      <c r="E131" s="1273" t="str">
        <f>IF(A131&gt;0,D131,"No")</f>
        <v>No</v>
      </c>
    </row>
    <row r="132" spans="1:5" ht="12.75">
      <c r="A132" s="1221"/>
      <c r="B132" s="1221">
        <v>51</v>
      </c>
      <c r="C132" s="1229" t="s">
        <v>1077</v>
      </c>
      <c r="D132" s="1223">
        <v>0</v>
      </c>
      <c r="E132" s="1273" t="str">
        <f>IF(A132&gt;0,D132,"No")</f>
        <v>No</v>
      </c>
    </row>
    <row r="133" spans="1:5" ht="12.75">
      <c r="A133" s="1221">
        <v>144001</v>
      </c>
      <c r="B133" s="1221" t="s">
        <v>972</v>
      </c>
      <c r="C133" s="1222" t="s">
        <v>843</v>
      </c>
      <c r="D133" s="1223">
        <v>0</v>
      </c>
      <c r="E133" s="1228">
        <f>SUM(D134:D135)</f>
        <v>23835</v>
      </c>
    </row>
    <row r="134" spans="1:5" ht="12.75">
      <c r="A134" s="1221"/>
      <c r="B134" s="1221">
        <v>30</v>
      </c>
      <c r="C134" s="1229" t="s">
        <v>1071</v>
      </c>
      <c r="D134" s="1223">
        <v>23835</v>
      </c>
      <c r="E134" s="1224" t="str">
        <f>IF(A134&gt;0,D134,"No")</f>
        <v>No</v>
      </c>
    </row>
    <row r="135" spans="1:5" ht="12.75">
      <c r="A135" s="1221"/>
      <c r="B135" s="1221">
        <v>40</v>
      </c>
      <c r="C135" s="1229" t="s">
        <v>1072</v>
      </c>
      <c r="D135" s="1223">
        <v>0</v>
      </c>
      <c r="E135" s="1224" t="str">
        <f>IF(A135&gt;0,D135,"No")</f>
        <v>No</v>
      </c>
    </row>
    <row r="136" spans="1:5" ht="12.75">
      <c r="A136" s="1221">
        <v>144010</v>
      </c>
      <c r="B136" s="1221" t="s">
        <v>972</v>
      </c>
      <c r="C136" s="1222" t="s">
        <v>822</v>
      </c>
      <c r="D136" s="1223">
        <v>0</v>
      </c>
      <c r="E136" s="1224">
        <f>IF(A136&gt;0,D136,"No")</f>
        <v>0</v>
      </c>
    </row>
    <row r="137" spans="1:5" ht="12.75">
      <c r="A137" s="1221">
        <v>144020</v>
      </c>
      <c r="B137" s="1221" t="s">
        <v>972</v>
      </c>
      <c r="C137" s="1222" t="s">
        <v>823</v>
      </c>
      <c r="D137" s="1223">
        <v>0</v>
      </c>
      <c r="E137" s="1224">
        <f>IF(A137&gt;0,D137,"No")</f>
        <v>0</v>
      </c>
    </row>
    <row r="138" spans="1:5" ht="12.75">
      <c r="A138" s="1221">
        <v>144030</v>
      </c>
      <c r="B138" s="1221" t="s">
        <v>972</v>
      </c>
      <c r="C138" s="1222" t="s">
        <v>1134</v>
      </c>
      <c r="D138" s="1223">
        <v>0</v>
      </c>
      <c r="E138" s="1228">
        <f>SUM(D139:D140)</f>
        <v>581853.5</v>
      </c>
    </row>
    <row r="139" spans="1:5" ht="12.75">
      <c r="A139" s="1221"/>
      <c r="B139" s="1221">
        <v>30</v>
      </c>
      <c r="C139" s="1229" t="s">
        <v>1071</v>
      </c>
      <c r="D139" s="1223">
        <v>413050.75</v>
      </c>
      <c r="E139" s="1224" t="str">
        <f>IF(A139&gt;0,D139,"No")</f>
        <v>No</v>
      </c>
    </row>
    <row r="140" spans="1:5" ht="12.75">
      <c r="A140" s="1221"/>
      <c r="B140" s="1221">
        <v>40</v>
      </c>
      <c r="C140" s="1229" t="s">
        <v>1072</v>
      </c>
      <c r="D140" s="1223">
        <v>168802.75</v>
      </c>
      <c r="E140" s="1224" t="str">
        <f>IF(A140&gt;0,D140,"No")</f>
        <v>No</v>
      </c>
    </row>
    <row r="141" spans="1:5" ht="12.75">
      <c r="A141" s="1221">
        <v>144110</v>
      </c>
      <c r="B141" s="1221" t="s">
        <v>972</v>
      </c>
      <c r="C141" s="1222" t="s">
        <v>824</v>
      </c>
      <c r="D141" s="1223">
        <v>8086072.55</v>
      </c>
      <c r="E141" s="1224">
        <f>IF(A141&gt;0,D141,"No")</f>
        <v>8086072.55</v>
      </c>
    </row>
    <row r="142" spans="1:5" ht="12.75">
      <c r="A142" s="1221">
        <v>144111</v>
      </c>
      <c r="B142" s="1221" t="s">
        <v>972</v>
      </c>
      <c r="C142" s="1222" t="s">
        <v>825</v>
      </c>
      <c r="D142" s="1223">
        <v>0</v>
      </c>
      <c r="E142" s="1228">
        <f>SUM(D143:D144)</f>
        <v>0</v>
      </c>
    </row>
    <row r="143" spans="1:5" ht="12.75">
      <c r="A143" s="1221"/>
      <c r="B143" s="1221">
        <v>30</v>
      </c>
      <c r="C143" s="1229" t="s">
        <v>1071</v>
      </c>
      <c r="D143" s="1223">
        <v>0</v>
      </c>
      <c r="E143" s="1224" t="str">
        <f aca="true" t="shared" si="2" ref="E143:E148">IF(A143&gt;0,D143,"No")</f>
        <v>No</v>
      </c>
    </row>
    <row r="144" spans="1:5" ht="12.75">
      <c r="A144" s="1221"/>
      <c r="B144" s="1221">
        <v>40</v>
      </c>
      <c r="C144" s="1229" t="s">
        <v>1072</v>
      </c>
      <c r="D144" s="1227">
        <v>0</v>
      </c>
      <c r="E144" s="1224" t="str">
        <f t="shared" si="2"/>
        <v>No</v>
      </c>
    </row>
    <row r="145" spans="1:5" ht="12.75">
      <c r="A145" s="1221">
        <v>144120</v>
      </c>
      <c r="B145" s="1221" t="s">
        <v>972</v>
      </c>
      <c r="C145" s="1222" t="s">
        <v>1135</v>
      </c>
      <c r="D145" s="1223">
        <v>787578.24</v>
      </c>
      <c r="E145" s="1224">
        <f t="shared" si="2"/>
        <v>787578.24</v>
      </c>
    </row>
    <row r="146" spans="1:5" ht="12.75">
      <c r="A146" s="1221">
        <v>144510</v>
      </c>
      <c r="B146" s="1221" t="s">
        <v>972</v>
      </c>
      <c r="C146" s="1222" t="s">
        <v>1136</v>
      </c>
      <c r="D146" s="1223">
        <v>0</v>
      </c>
      <c r="E146" s="1224">
        <f t="shared" si="2"/>
        <v>0</v>
      </c>
    </row>
    <row r="147" spans="1:5" ht="12.75">
      <c r="A147" s="1221">
        <v>144520</v>
      </c>
      <c r="B147" s="1221" t="s">
        <v>972</v>
      </c>
      <c r="C147" s="1222" t="s">
        <v>1137</v>
      </c>
      <c r="D147" s="1223">
        <v>0</v>
      </c>
      <c r="E147" s="1224">
        <f t="shared" si="2"/>
        <v>0</v>
      </c>
    </row>
    <row r="148" spans="1:5" ht="12.75">
      <c r="A148" s="1221">
        <v>144521</v>
      </c>
      <c r="B148" s="1221" t="s">
        <v>972</v>
      </c>
      <c r="C148" s="1222" t="s">
        <v>1138</v>
      </c>
      <c r="D148" s="1223">
        <v>0</v>
      </c>
      <c r="E148" s="1224">
        <f t="shared" si="2"/>
        <v>0</v>
      </c>
    </row>
    <row r="149" spans="1:5" ht="12.75">
      <c r="A149" s="1221">
        <v>144530</v>
      </c>
      <c r="B149" s="1221" t="s">
        <v>972</v>
      </c>
      <c r="C149" s="1222" t="s">
        <v>1139</v>
      </c>
      <c r="D149" s="1223">
        <v>0</v>
      </c>
      <c r="E149" s="1228">
        <f>SUM(D150:D151)</f>
        <v>0</v>
      </c>
    </row>
    <row r="150" spans="1:5" ht="12.75">
      <c r="A150" s="1221"/>
      <c r="B150" s="1221">
        <v>30</v>
      </c>
      <c r="C150" s="1229" t="s">
        <v>1071</v>
      </c>
      <c r="D150" s="1223">
        <v>0</v>
      </c>
      <c r="E150" s="1224" t="str">
        <f aca="true" t="shared" si="3" ref="E150:E161">IF(A150&gt;0,D150,"No")</f>
        <v>No</v>
      </c>
    </row>
    <row r="151" spans="1:5" ht="12.75">
      <c r="A151" s="1221"/>
      <c r="B151" s="1221">
        <v>40</v>
      </c>
      <c r="C151" s="1229" t="s">
        <v>1072</v>
      </c>
      <c r="D151" s="1223">
        <v>0</v>
      </c>
      <c r="E151" s="1224" t="str">
        <f t="shared" si="3"/>
        <v>No</v>
      </c>
    </row>
    <row r="152" spans="1:5" ht="12.75">
      <c r="A152" s="1221">
        <v>145000</v>
      </c>
      <c r="B152" s="1221" t="s">
        <v>972</v>
      </c>
      <c r="C152" s="1222" t="s">
        <v>1143</v>
      </c>
      <c r="D152" s="1223">
        <v>0</v>
      </c>
      <c r="E152" s="1224">
        <f t="shared" si="3"/>
        <v>0</v>
      </c>
    </row>
    <row r="153" spans="1:5" ht="12.75">
      <c r="A153" s="1221">
        <v>150000</v>
      </c>
      <c r="B153" s="1221" t="s">
        <v>972</v>
      </c>
      <c r="C153" s="1222" t="s">
        <v>1144</v>
      </c>
      <c r="D153" s="1223">
        <v>0</v>
      </c>
      <c r="E153" s="1224">
        <f t="shared" si="3"/>
        <v>0</v>
      </c>
    </row>
    <row r="154" spans="1:5" ht="12.75">
      <c r="A154" s="1221">
        <v>152000</v>
      </c>
      <c r="B154" s="1221" t="s">
        <v>972</v>
      </c>
      <c r="C154" s="1222" t="s">
        <v>1145</v>
      </c>
      <c r="D154" s="1223">
        <v>0</v>
      </c>
      <c r="E154" s="1224">
        <f t="shared" si="3"/>
        <v>0</v>
      </c>
    </row>
    <row r="155" spans="1:5" ht="12.75">
      <c r="A155" s="1221">
        <v>152110</v>
      </c>
      <c r="B155" s="1221" t="s">
        <v>972</v>
      </c>
      <c r="C155" s="1222" t="s">
        <v>826</v>
      </c>
      <c r="D155" s="1223">
        <v>0</v>
      </c>
      <c r="E155" s="1224">
        <f t="shared" si="3"/>
        <v>0</v>
      </c>
    </row>
    <row r="156" spans="1:5" ht="12.75">
      <c r="A156" s="1221">
        <v>152120</v>
      </c>
      <c r="B156" s="1221" t="s">
        <v>972</v>
      </c>
      <c r="C156" s="1222" t="s">
        <v>827</v>
      </c>
      <c r="D156" s="1223">
        <v>0</v>
      </c>
      <c r="E156" s="1224">
        <f t="shared" si="3"/>
        <v>0</v>
      </c>
    </row>
    <row r="157" spans="1:5" ht="12.75">
      <c r="A157" s="1221">
        <v>152130</v>
      </c>
      <c r="B157" s="1221" t="s">
        <v>972</v>
      </c>
      <c r="C157" s="1222" t="s">
        <v>828</v>
      </c>
      <c r="D157" s="1223">
        <v>0</v>
      </c>
      <c r="E157" s="1224">
        <f t="shared" si="3"/>
        <v>0</v>
      </c>
    </row>
    <row r="158" spans="1:5" ht="12.75">
      <c r="A158" s="1221">
        <v>152140</v>
      </c>
      <c r="B158" s="1221" t="s">
        <v>972</v>
      </c>
      <c r="C158" s="1222" t="s">
        <v>829</v>
      </c>
      <c r="D158" s="1223">
        <v>0</v>
      </c>
      <c r="E158" s="1224">
        <f t="shared" si="3"/>
        <v>0</v>
      </c>
    </row>
    <row r="159" spans="1:5" ht="12.75">
      <c r="A159" s="1221">
        <v>155000</v>
      </c>
      <c r="B159" s="1221" t="s">
        <v>972</v>
      </c>
      <c r="C159" s="1222" t="s">
        <v>1146</v>
      </c>
      <c r="D159" s="1223">
        <v>0</v>
      </c>
      <c r="E159" s="1224">
        <f t="shared" si="3"/>
        <v>0</v>
      </c>
    </row>
    <row r="160" spans="1:5" ht="12.75">
      <c r="A160" s="1221">
        <v>155110</v>
      </c>
      <c r="B160" s="1221" t="s">
        <v>972</v>
      </c>
      <c r="C160" s="1222" t="s">
        <v>1147</v>
      </c>
      <c r="D160" s="1223">
        <v>0</v>
      </c>
      <c r="E160" s="1224">
        <f t="shared" si="3"/>
        <v>0</v>
      </c>
    </row>
    <row r="161" spans="1:5" ht="12.75">
      <c r="A161" s="1221">
        <v>160000</v>
      </c>
      <c r="B161" s="1221" t="s">
        <v>972</v>
      </c>
      <c r="C161" s="1238" t="s">
        <v>1148</v>
      </c>
      <c r="D161" s="1223">
        <v>0</v>
      </c>
      <c r="E161" s="1224">
        <f t="shared" si="3"/>
        <v>0</v>
      </c>
    </row>
    <row r="162" spans="1:6" ht="12.75">
      <c r="A162" s="1221">
        <v>160110</v>
      </c>
      <c r="B162" s="1221" t="s">
        <v>972</v>
      </c>
      <c r="C162" s="1222" t="s">
        <v>1149</v>
      </c>
      <c r="D162" s="1223">
        <v>0</v>
      </c>
      <c r="E162" s="1228">
        <f>SUM(D163:D164)</f>
        <v>52505398</v>
      </c>
      <c r="F162" s="1264">
        <f>SUM(E162:E345)-E165</f>
        <v>270986778.41000015</v>
      </c>
    </row>
    <row r="163" spans="1:5" ht="12.75">
      <c r="A163" s="1221"/>
      <c r="B163" s="1221">
        <v>30</v>
      </c>
      <c r="C163" s="1229" t="s">
        <v>1071</v>
      </c>
      <c r="D163" s="1223">
        <v>42163509</v>
      </c>
      <c r="E163" s="1224" t="str">
        <f>IF(A163&gt;0,D163,"No")</f>
        <v>No</v>
      </c>
    </row>
    <row r="164" spans="1:5" ht="12.75">
      <c r="A164" s="1221"/>
      <c r="B164" s="1221">
        <v>40</v>
      </c>
      <c r="C164" s="1229" t="s">
        <v>1072</v>
      </c>
      <c r="D164" s="1223">
        <v>10341889</v>
      </c>
      <c r="E164" s="1224" t="str">
        <f>IF(A164&gt;0,D164,"No")</f>
        <v>No</v>
      </c>
    </row>
    <row r="165" spans="1:5" ht="12.75">
      <c r="A165" s="1221">
        <v>160111</v>
      </c>
      <c r="B165" s="1221" t="s">
        <v>972</v>
      </c>
      <c r="C165" s="1222" t="s">
        <v>1150</v>
      </c>
      <c r="D165" s="1223">
        <v>0</v>
      </c>
      <c r="E165" s="1228">
        <f>SUM(D166:D167)</f>
        <v>104782995</v>
      </c>
    </row>
    <row r="166" spans="1:5" ht="12.75">
      <c r="A166" s="1221"/>
      <c r="B166" s="1221">
        <v>30</v>
      </c>
      <c r="C166" s="1229" t="s">
        <v>1071</v>
      </c>
      <c r="D166" s="1223">
        <v>49342050</v>
      </c>
      <c r="E166" s="1224" t="str">
        <f>IF(A166&gt;0,D166,"No")</f>
        <v>No</v>
      </c>
    </row>
    <row r="167" spans="1:5" ht="12.75">
      <c r="A167" s="1221"/>
      <c r="B167" s="1221">
        <v>40</v>
      </c>
      <c r="C167" s="1229" t="s">
        <v>1072</v>
      </c>
      <c r="D167" s="1223">
        <v>55440945</v>
      </c>
      <c r="E167" s="1224" t="str">
        <f>IF(A167&gt;0,D167,"No")</f>
        <v>No</v>
      </c>
    </row>
    <row r="168" spans="1:5" ht="12.75">
      <c r="A168" s="1221">
        <v>160120</v>
      </c>
      <c r="B168" s="1221" t="s">
        <v>972</v>
      </c>
      <c r="C168" s="1222" t="s">
        <v>1021</v>
      </c>
      <c r="D168" s="1223">
        <v>0</v>
      </c>
      <c r="E168" s="1228">
        <f>SUM(D169:D171)</f>
        <v>63958407.74</v>
      </c>
    </row>
    <row r="169" spans="1:5" ht="12.75">
      <c r="A169" s="1221"/>
      <c r="B169" s="1221">
        <v>2</v>
      </c>
      <c r="C169" s="1229" t="s">
        <v>1151</v>
      </c>
      <c r="D169" s="1223">
        <v>25771578.57</v>
      </c>
      <c r="E169" s="1224" t="str">
        <f>IF(A169&gt;0,D169,"No")</f>
        <v>No</v>
      </c>
    </row>
    <row r="170" spans="1:5" ht="12.75">
      <c r="A170" s="1221"/>
      <c r="B170" s="1221">
        <v>14</v>
      </c>
      <c r="C170" s="1229" t="s">
        <v>1152</v>
      </c>
      <c r="D170" s="1223">
        <v>26788512.810000002</v>
      </c>
      <c r="E170" s="1224" t="str">
        <f>IF(A170&gt;0,D170,"No")</f>
        <v>No</v>
      </c>
    </row>
    <row r="171" spans="1:5" ht="12.75">
      <c r="A171" s="1221"/>
      <c r="B171" s="1221">
        <v>27</v>
      </c>
      <c r="C171" s="1229" t="s">
        <v>1153</v>
      </c>
      <c r="D171" s="1223">
        <v>11398316.36</v>
      </c>
      <c r="E171" s="1224" t="str">
        <f>IF(A171&gt;0,D171,"No")</f>
        <v>No</v>
      </c>
    </row>
    <row r="172" spans="1:5" ht="12.75">
      <c r="A172" s="1221">
        <v>160121</v>
      </c>
      <c r="B172" s="1221" t="s">
        <v>972</v>
      </c>
      <c r="C172" s="1222" t="s">
        <v>1022</v>
      </c>
      <c r="D172" s="1223">
        <v>0</v>
      </c>
      <c r="E172" s="1228">
        <f>SUM(D173:D175)</f>
        <v>72279571.07000001</v>
      </c>
    </row>
    <row r="173" spans="1:5" ht="12.75">
      <c r="A173" s="1221"/>
      <c r="B173" s="1221">
        <v>2</v>
      </c>
      <c r="C173" s="1229" t="s">
        <v>1151</v>
      </c>
      <c r="D173" s="1223">
        <v>54132495.9</v>
      </c>
      <c r="E173" s="1224" t="str">
        <f>IF(A173&gt;0,D173,"No")</f>
        <v>No</v>
      </c>
    </row>
    <row r="174" spans="1:5" ht="12.75">
      <c r="A174" s="1221"/>
      <c r="B174" s="1221">
        <v>14</v>
      </c>
      <c r="C174" s="1229" t="s">
        <v>1152</v>
      </c>
      <c r="D174" s="1223">
        <v>16134347.66</v>
      </c>
      <c r="E174" s="1224" t="str">
        <f>IF(A174&gt;0,D174,"No")</f>
        <v>No</v>
      </c>
    </row>
    <row r="175" spans="1:5" ht="12.75">
      <c r="A175" s="1221"/>
      <c r="B175" s="1221">
        <v>27</v>
      </c>
      <c r="C175" s="1229" t="s">
        <v>1153</v>
      </c>
      <c r="D175" s="1223">
        <v>2012727.51</v>
      </c>
      <c r="E175" s="1224" t="str">
        <f>IF(A175&gt;0,D175,"No")</f>
        <v>No</v>
      </c>
    </row>
    <row r="176" spans="1:5" ht="12.75">
      <c r="A176" s="1221">
        <v>160122</v>
      </c>
      <c r="B176" s="1221" t="s">
        <v>972</v>
      </c>
      <c r="C176" s="1222" t="s">
        <v>1154</v>
      </c>
      <c r="D176" s="1223">
        <v>0</v>
      </c>
      <c r="E176" s="1228">
        <f>SUM(D177)</f>
        <v>967639.05</v>
      </c>
    </row>
    <row r="177" spans="1:5" ht="12.75">
      <c r="A177" s="1221"/>
      <c r="B177" s="1221">
        <v>27</v>
      </c>
      <c r="C177" s="1229" t="s">
        <v>1153</v>
      </c>
      <c r="D177" s="1223">
        <v>967639.05</v>
      </c>
      <c r="E177" s="1224" t="str">
        <f>IF(A177&gt;0,D177,"No")</f>
        <v>No</v>
      </c>
    </row>
    <row r="178" spans="1:5" ht="12.75">
      <c r="A178" s="1221">
        <v>160130</v>
      </c>
      <c r="B178" s="1221" t="s">
        <v>972</v>
      </c>
      <c r="C178" s="1222" t="s">
        <v>1155</v>
      </c>
      <c r="D178" s="1223">
        <v>0</v>
      </c>
      <c r="E178" s="1228">
        <f>SUM(D179:D195)</f>
        <v>328276900.87</v>
      </c>
    </row>
    <row r="179" spans="1:5" ht="12.75">
      <c r="A179" s="1221"/>
      <c r="B179" s="1221">
        <v>2</v>
      </c>
      <c r="C179" s="1229" t="s">
        <v>1151</v>
      </c>
      <c r="D179" s="1223">
        <v>0</v>
      </c>
      <c r="E179" s="1224" t="str">
        <f aca="true" t="shared" si="4" ref="E179:E195">IF(A179&gt;0,D179,"No")</f>
        <v>No</v>
      </c>
    </row>
    <row r="180" spans="1:5" ht="12.75">
      <c r="A180" s="1221"/>
      <c r="B180" s="1221">
        <v>3</v>
      </c>
      <c r="C180" s="1229" t="s">
        <v>1156</v>
      </c>
      <c r="D180" s="1223">
        <v>321500</v>
      </c>
      <c r="E180" s="1224" t="str">
        <f t="shared" si="4"/>
        <v>No</v>
      </c>
    </row>
    <row r="181" spans="1:5" ht="12.75">
      <c r="A181" s="1221"/>
      <c r="B181" s="1221">
        <v>4</v>
      </c>
      <c r="C181" s="1229" t="s">
        <v>1157</v>
      </c>
      <c r="D181" s="1223">
        <v>32711596.41</v>
      </c>
      <c r="E181" s="1224" t="str">
        <f t="shared" si="4"/>
        <v>No</v>
      </c>
    </row>
    <row r="182" spans="1:5" ht="12.75">
      <c r="A182" s="1221"/>
      <c r="B182" s="1221">
        <v>5</v>
      </c>
      <c r="C182" s="1229" t="s">
        <v>1158</v>
      </c>
      <c r="D182" s="1223">
        <v>31200903.41</v>
      </c>
      <c r="E182" s="1224" t="str">
        <f t="shared" si="4"/>
        <v>No</v>
      </c>
    </row>
    <row r="183" spans="1:5" ht="12.75">
      <c r="A183" s="1221"/>
      <c r="B183" s="1221">
        <v>6</v>
      </c>
      <c r="C183" s="1229" t="s">
        <v>1159</v>
      </c>
      <c r="D183" s="1223">
        <v>12288747.3</v>
      </c>
      <c r="E183" s="1224" t="str">
        <f t="shared" si="4"/>
        <v>No</v>
      </c>
    </row>
    <row r="184" spans="1:5" ht="12.75">
      <c r="A184" s="1221"/>
      <c r="B184" s="1221">
        <v>7</v>
      </c>
      <c r="C184" s="1229" t="s">
        <v>1160</v>
      </c>
      <c r="D184" s="1223">
        <v>942408.01</v>
      </c>
      <c r="E184" s="1224" t="str">
        <f t="shared" si="4"/>
        <v>No</v>
      </c>
    </row>
    <row r="185" spans="1:5" ht="12.75">
      <c r="A185" s="1221"/>
      <c r="B185" s="1221">
        <v>9</v>
      </c>
      <c r="C185" s="1229" t="s">
        <v>1161</v>
      </c>
      <c r="D185" s="1223">
        <v>570830</v>
      </c>
      <c r="E185" s="1224" t="str">
        <f t="shared" si="4"/>
        <v>No</v>
      </c>
    </row>
    <row r="186" spans="1:5" ht="12.75">
      <c r="A186" s="1221"/>
      <c r="B186" s="1221">
        <v>10</v>
      </c>
      <c r="C186" s="1229" t="s">
        <v>1162</v>
      </c>
      <c r="D186" s="1223">
        <v>7387842.8100000005</v>
      </c>
      <c r="E186" s="1224" t="str">
        <f t="shared" si="4"/>
        <v>No</v>
      </c>
    </row>
    <row r="187" spans="1:5" ht="12.75">
      <c r="A187" s="1221"/>
      <c r="B187" s="1221">
        <v>11</v>
      </c>
      <c r="C187" s="1229" t="s">
        <v>1163</v>
      </c>
      <c r="D187" s="1223">
        <v>0</v>
      </c>
      <c r="E187" s="1224" t="str">
        <f t="shared" si="4"/>
        <v>No</v>
      </c>
    </row>
    <row r="188" spans="1:5" ht="12.75">
      <c r="A188" s="1221"/>
      <c r="B188" s="1221">
        <v>12</v>
      </c>
      <c r="C188" s="1229" t="s">
        <v>1164</v>
      </c>
      <c r="D188" s="1223">
        <v>0</v>
      </c>
      <c r="E188" s="1224" t="str">
        <f t="shared" si="4"/>
        <v>No</v>
      </c>
    </row>
    <row r="189" spans="1:5" ht="12.75">
      <c r="A189" s="1221"/>
      <c r="B189" s="1221">
        <v>13</v>
      </c>
      <c r="C189" s="1229" t="s">
        <v>1165</v>
      </c>
      <c r="D189" s="1223">
        <v>4300</v>
      </c>
      <c r="E189" s="1224" t="str">
        <f t="shared" si="4"/>
        <v>No</v>
      </c>
    </row>
    <row r="190" spans="1:5" ht="12.75">
      <c r="A190" s="1221"/>
      <c r="B190" s="1221">
        <v>15</v>
      </c>
      <c r="C190" s="1229" t="s">
        <v>1166</v>
      </c>
      <c r="D190" s="1223">
        <v>60048362.45</v>
      </c>
      <c r="E190" s="1224" t="str">
        <f t="shared" si="4"/>
        <v>No</v>
      </c>
    </row>
    <row r="191" spans="1:5" ht="12.75">
      <c r="A191" s="1221"/>
      <c r="B191" s="1221">
        <v>16</v>
      </c>
      <c r="C191" s="1229" t="s">
        <v>1167</v>
      </c>
      <c r="D191" s="1223">
        <v>403245.81</v>
      </c>
      <c r="E191" s="1224" t="str">
        <f t="shared" si="4"/>
        <v>No</v>
      </c>
    </row>
    <row r="192" spans="1:5" ht="12.75">
      <c r="A192" s="1221"/>
      <c r="B192" s="1221">
        <v>17</v>
      </c>
      <c r="C192" s="1229" t="s">
        <v>1168</v>
      </c>
      <c r="D192" s="1223">
        <v>576200</v>
      </c>
      <c r="E192" s="1224" t="str">
        <f t="shared" si="4"/>
        <v>No</v>
      </c>
    </row>
    <row r="193" spans="1:5" ht="12.75">
      <c r="A193" s="1221"/>
      <c r="B193" s="1221">
        <v>32</v>
      </c>
      <c r="C193" s="1229" t="s">
        <v>1169</v>
      </c>
      <c r="D193" s="1223">
        <v>54916664.78</v>
      </c>
      <c r="E193" s="1224" t="str">
        <f t="shared" si="4"/>
        <v>No</v>
      </c>
    </row>
    <row r="194" spans="1:5" ht="12.75">
      <c r="A194" s="1221"/>
      <c r="B194" s="1221">
        <v>39</v>
      </c>
      <c r="C194" s="1229" t="s">
        <v>1170</v>
      </c>
      <c r="D194" s="1223">
        <v>1195103.23</v>
      </c>
      <c r="E194" s="1224" t="str">
        <f t="shared" si="4"/>
        <v>No</v>
      </c>
    </row>
    <row r="195" spans="1:5" ht="12.75">
      <c r="A195" s="1221"/>
      <c r="B195" s="1221">
        <v>43</v>
      </c>
      <c r="C195" s="1229" t="s">
        <v>959</v>
      </c>
      <c r="D195" s="1223">
        <v>125709196.66</v>
      </c>
      <c r="E195" s="1224" t="str">
        <f t="shared" si="4"/>
        <v>No</v>
      </c>
    </row>
    <row r="196" spans="1:5" ht="12.75">
      <c r="A196" s="1221">
        <v>160140</v>
      </c>
      <c r="B196" s="1221" t="s">
        <v>972</v>
      </c>
      <c r="C196" s="1222" t="s">
        <v>1171</v>
      </c>
      <c r="D196" s="1223">
        <v>0</v>
      </c>
      <c r="E196" s="1228">
        <f>SUM(D197:D199)</f>
        <v>10060768.83</v>
      </c>
    </row>
    <row r="197" spans="1:5" ht="12.75">
      <c r="A197" s="1221"/>
      <c r="B197" s="1221">
        <v>18</v>
      </c>
      <c r="C197" s="1229" t="s">
        <v>1172</v>
      </c>
      <c r="D197" s="1223">
        <v>523237.58</v>
      </c>
      <c r="E197" s="1224" t="str">
        <f>IF(A197&gt;0,D197,"No")</f>
        <v>No</v>
      </c>
    </row>
    <row r="198" spans="1:5" ht="12.75">
      <c r="A198" s="1221"/>
      <c r="B198" s="1221">
        <v>27</v>
      </c>
      <c r="C198" s="1229" t="s">
        <v>1153</v>
      </c>
      <c r="D198" s="1223">
        <v>9537531.25</v>
      </c>
      <c r="E198" s="1224" t="str">
        <f>IF(A198&gt;0,D198,"No")</f>
        <v>No</v>
      </c>
    </row>
    <row r="199" spans="1:5" ht="12.75">
      <c r="A199" s="1221"/>
      <c r="B199" s="1221">
        <v>34</v>
      </c>
      <c r="C199" s="1229" t="s">
        <v>1173</v>
      </c>
      <c r="D199" s="1223">
        <v>0</v>
      </c>
      <c r="E199" s="1224" t="str">
        <f>IF(A199&gt;0,D199,"No")</f>
        <v>No</v>
      </c>
    </row>
    <row r="200" spans="1:5" ht="12.75">
      <c r="A200" s="1221">
        <v>160150</v>
      </c>
      <c r="B200" s="1221" t="s">
        <v>972</v>
      </c>
      <c r="C200" s="1222" t="s">
        <v>1174</v>
      </c>
      <c r="D200" s="1223">
        <v>0</v>
      </c>
      <c r="E200" s="1228">
        <f>SUM(D201:D224)</f>
        <v>58506005.830000006</v>
      </c>
    </row>
    <row r="201" spans="1:5" ht="12.75">
      <c r="A201" s="1221"/>
      <c r="B201" s="1221">
        <v>1</v>
      </c>
      <c r="C201" s="1229" t="s">
        <v>1175</v>
      </c>
      <c r="D201" s="1223">
        <v>18000</v>
      </c>
      <c r="E201" s="1224" t="str">
        <f aca="true" t="shared" si="5" ref="E201:E224">IF(A201&gt;0,D201,"No")</f>
        <v>No</v>
      </c>
    </row>
    <row r="202" spans="1:5" ht="12.75">
      <c r="A202" s="1221"/>
      <c r="B202" s="1221">
        <v>2</v>
      </c>
      <c r="C202" s="1229" t="s">
        <v>1151</v>
      </c>
      <c r="D202" s="1223">
        <v>2285527.5</v>
      </c>
      <c r="E202" s="1224" t="str">
        <f t="shared" si="5"/>
        <v>No</v>
      </c>
    </row>
    <row r="203" spans="1:5" ht="12.75">
      <c r="A203" s="1221"/>
      <c r="B203" s="1221">
        <v>3</v>
      </c>
      <c r="C203" s="1229" t="s">
        <v>1156</v>
      </c>
      <c r="D203" s="1223">
        <v>791535</v>
      </c>
      <c r="E203" s="1224" t="str">
        <f t="shared" si="5"/>
        <v>No</v>
      </c>
    </row>
    <row r="204" spans="1:5" ht="12.75">
      <c r="A204" s="1221"/>
      <c r="B204" s="1221">
        <v>4</v>
      </c>
      <c r="C204" s="1229" t="s">
        <v>1157</v>
      </c>
      <c r="D204" s="1223">
        <v>7738715.32</v>
      </c>
      <c r="E204" s="1224" t="str">
        <f t="shared" si="5"/>
        <v>No</v>
      </c>
    </row>
    <row r="205" spans="1:5" ht="12.75">
      <c r="A205" s="1221"/>
      <c r="B205" s="1221">
        <v>5</v>
      </c>
      <c r="C205" s="1229" t="s">
        <v>1158</v>
      </c>
      <c r="D205" s="1223">
        <v>13258371.68</v>
      </c>
      <c r="E205" s="1224" t="str">
        <f t="shared" si="5"/>
        <v>No</v>
      </c>
    </row>
    <row r="206" spans="1:5" ht="12.75">
      <c r="A206" s="1221"/>
      <c r="B206" s="1221">
        <v>6</v>
      </c>
      <c r="C206" s="1229" t="s">
        <v>1159</v>
      </c>
      <c r="D206" s="1223">
        <v>4441873.32</v>
      </c>
      <c r="E206" s="1224" t="str">
        <f t="shared" si="5"/>
        <v>No</v>
      </c>
    </row>
    <row r="207" spans="1:5" ht="12.75">
      <c r="A207" s="1221"/>
      <c r="B207" s="1221">
        <v>7</v>
      </c>
      <c r="C207" s="1229" t="s">
        <v>1160</v>
      </c>
      <c r="D207" s="1223">
        <v>178267.71</v>
      </c>
      <c r="E207" s="1224" t="str">
        <f t="shared" si="5"/>
        <v>No</v>
      </c>
    </row>
    <row r="208" spans="1:5" ht="12.75">
      <c r="A208" s="1221"/>
      <c r="B208" s="1221">
        <v>9</v>
      </c>
      <c r="C208" s="1229" t="s">
        <v>1161</v>
      </c>
      <c r="D208" s="1223">
        <v>216830.41</v>
      </c>
      <c r="E208" s="1224" t="str">
        <f t="shared" si="5"/>
        <v>No</v>
      </c>
    </row>
    <row r="209" spans="1:5" ht="12.75">
      <c r="A209" s="1221"/>
      <c r="B209" s="1221">
        <v>10</v>
      </c>
      <c r="C209" s="1229" t="s">
        <v>1162</v>
      </c>
      <c r="D209" s="1223">
        <v>584216.26</v>
      </c>
      <c r="E209" s="1224" t="str">
        <f t="shared" si="5"/>
        <v>No</v>
      </c>
    </row>
    <row r="210" spans="1:5" ht="12.75">
      <c r="A210" s="1221"/>
      <c r="B210" s="1221">
        <v>11</v>
      </c>
      <c r="C210" s="1229" t="s">
        <v>1163</v>
      </c>
      <c r="D210" s="1223">
        <v>0</v>
      </c>
      <c r="E210" s="1224" t="str">
        <f t="shared" si="5"/>
        <v>No</v>
      </c>
    </row>
    <row r="211" spans="1:5" ht="12.75">
      <c r="A211" s="1221"/>
      <c r="B211" s="1221">
        <v>12</v>
      </c>
      <c r="C211" s="1229" t="s">
        <v>1164</v>
      </c>
      <c r="D211" s="1223">
        <v>209407</v>
      </c>
      <c r="E211" s="1224" t="str">
        <f t="shared" si="5"/>
        <v>No</v>
      </c>
    </row>
    <row r="212" spans="1:5" ht="12.75">
      <c r="A212" s="1221"/>
      <c r="B212" s="1221">
        <v>13</v>
      </c>
      <c r="C212" s="1229" t="s">
        <v>1165</v>
      </c>
      <c r="D212" s="1223">
        <v>2916569.84</v>
      </c>
      <c r="E212" s="1224" t="str">
        <f t="shared" si="5"/>
        <v>No</v>
      </c>
    </row>
    <row r="213" spans="1:5" ht="12.75">
      <c r="A213" s="1221"/>
      <c r="B213" s="1221">
        <v>15</v>
      </c>
      <c r="C213" s="1229" t="s">
        <v>1166</v>
      </c>
      <c r="D213" s="1223">
        <v>4107132.12</v>
      </c>
      <c r="E213" s="1224" t="str">
        <f t="shared" si="5"/>
        <v>No</v>
      </c>
    </row>
    <row r="214" spans="1:5" ht="12.75">
      <c r="A214" s="1221"/>
      <c r="B214" s="1221">
        <v>16</v>
      </c>
      <c r="C214" s="1229" t="s">
        <v>1167</v>
      </c>
      <c r="D214" s="1223">
        <v>607740.92</v>
      </c>
      <c r="E214" s="1224" t="str">
        <f t="shared" si="5"/>
        <v>No</v>
      </c>
    </row>
    <row r="215" spans="1:5" ht="12.75">
      <c r="A215" s="1221"/>
      <c r="B215" s="1221">
        <v>17</v>
      </c>
      <c r="C215" s="1229" t="s">
        <v>1168</v>
      </c>
      <c r="D215" s="1223">
        <v>7589287.47</v>
      </c>
      <c r="E215" s="1224" t="str">
        <f t="shared" si="5"/>
        <v>No</v>
      </c>
    </row>
    <row r="216" spans="1:5" ht="12.75">
      <c r="A216" s="1221"/>
      <c r="B216" s="1221">
        <v>18</v>
      </c>
      <c r="C216" s="1229" t="s">
        <v>1172</v>
      </c>
      <c r="D216" s="1223">
        <v>6571523.33</v>
      </c>
      <c r="E216" s="1224" t="str">
        <f t="shared" si="5"/>
        <v>No</v>
      </c>
    </row>
    <row r="217" spans="1:5" ht="12.75">
      <c r="A217" s="1221"/>
      <c r="B217" s="1221">
        <v>25</v>
      </c>
      <c r="C217" s="1229" t="s">
        <v>1176</v>
      </c>
      <c r="D217" s="1223">
        <v>676615.74</v>
      </c>
      <c r="E217" s="1224" t="str">
        <f t="shared" si="5"/>
        <v>No</v>
      </c>
    </row>
    <row r="218" spans="1:5" ht="12.75">
      <c r="A218" s="1221"/>
      <c r="B218" s="1221">
        <v>26</v>
      </c>
      <c r="C218" s="1229" t="s">
        <v>1177</v>
      </c>
      <c r="D218" s="1223">
        <v>11600</v>
      </c>
      <c r="E218" s="1224" t="str">
        <f t="shared" si="5"/>
        <v>No</v>
      </c>
    </row>
    <row r="219" spans="1:5" ht="12.75">
      <c r="A219" s="1221"/>
      <c r="B219" s="1221">
        <v>27</v>
      </c>
      <c r="C219" s="1229" t="s">
        <v>1153</v>
      </c>
      <c r="D219" s="1223">
        <v>31057.2</v>
      </c>
      <c r="E219" s="1224" t="str">
        <f t="shared" si="5"/>
        <v>No</v>
      </c>
    </row>
    <row r="220" spans="1:5" ht="12.75">
      <c r="A220" s="1221"/>
      <c r="B220" s="1221">
        <v>28</v>
      </c>
      <c r="C220" s="1229" t="s">
        <v>1178</v>
      </c>
      <c r="D220" s="1223">
        <v>50189.62</v>
      </c>
      <c r="E220" s="1224" t="str">
        <f t="shared" si="5"/>
        <v>No</v>
      </c>
    </row>
    <row r="221" spans="1:5" ht="12.75">
      <c r="A221" s="1221"/>
      <c r="B221" s="1221">
        <v>31</v>
      </c>
      <c r="C221" s="1229" t="s">
        <v>1179</v>
      </c>
      <c r="D221" s="1223">
        <v>1320807.18</v>
      </c>
      <c r="E221" s="1224" t="str">
        <f t="shared" si="5"/>
        <v>No</v>
      </c>
    </row>
    <row r="222" spans="1:5" ht="12.75">
      <c r="A222" s="1221"/>
      <c r="B222" s="1221">
        <v>32</v>
      </c>
      <c r="C222" s="1229" t="s">
        <v>1169</v>
      </c>
      <c r="D222" s="1223">
        <v>406106</v>
      </c>
      <c r="E222" s="1224" t="str">
        <f t="shared" si="5"/>
        <v>No</v>
      </c>
    </row>
    <row r="223" spans="1:5" ht="12.75">
      <c r="A223" s="1221"/>
      <c r="B223" s="1221">
        <v>39</v>
      </c>
      <c r="C223" s="1229" t="s">
        <v>1170</v>
      </c>
      <c r="D223" s="1223">
        <v>213400.02</v>
      </c>
      <c r="E223" s="1224" t="str">
        <f t="shared" si="5"/>
        <v>No</v>
      </c>
    </row>
    <row r="224" spans="1:5" ht="12.75">
      <c r="A224" s="1221"/>
      <c r="B224" s="1221">
        <v>43</v>
      </c>
      <c r="C224" s="1229" t="s">
        <v>959</v>
      </c>
      <c r="D224" s="1223">
        <v>4281232.19</v>
      </c>
      <c r="E224" s="1224" t="str">
        <f t="shared" si="5"/>
        <v>No</v>
      </c>
    </row>
    <row r="225" spans="1:5" ht="12.75">
      <c r="A225" s="1221">
        <v>161110</v>
      </c>
      <c r="B225" s="1221" t="s">
        <v>972</v>
      </c>
      <c r="C225" s="1222" t="s">
        <v>1180</v>
      </c>
      <c r="D225" s="1223">
        <v>0</v>
      </c>
      <c r="E225" s="1228">
        <f>SUM(D226:D248)</f>
        <v>30031393.56</v>
      </c>
    </row>
    <row r="226" spans="1:5" ht="12.75">
      <c r="A226" s="1221"/>
      <c r="B226" s="1221">
        <v>1</v>
      </c>
      <c r="C226" s="1229" t="s">
        <v>1175</v>
      </c>
      <c r="D226" s="1223">
        <v>663186.09</v>
      </c>
      <c r="E226" s="1224" t="str">
        <f aca="true" t="shared" si="6" ref="E226:E248">IF(A226&gt;0,D226,"No")</f>
        <v>No</v>
      </c>
    </row>
    <row r="227" spans="1:5" ht="12.75">
      <c r="A227" s="1221"/>
      <c r="B227" s="1221">
        <v>2</v>
      </c>
      <c r="C227" s="1229" t="s">
        <v>1151</v>
      </c>
      <c r="D227" s="1223">
        <v>411808.87</v>
      </c>
      <c r="E227" s="1224" t="str">
        <f t="shared" si="6"/>
        <v>No</v>
      </c>
    </row>
    <row r="228" spans="1:5" ht="12.75">
      <c r="A228" s="1221"/>
      <c r="B228" s="1221">
        <v>3</v>
      </c>
      <c r="C228" s="1229" t="s">
        <v>1156</v>
      </c>
      <c r="D228" s="1223">
        <v>13140</v>
      </c>
      <c r="E228" s="1224" t="str">
        <f t="shared" si="6"/>
        <v>No</v>
      </c>
    </row>
    <row r="229" spans="1:5" ht="12.75">
      <c r="A229" s="1221"/>
      <c r="B229" s="1221">
        <v>5</v>
      </c>
      <c r="C229" s="1229" t="s">
        <v>1158</v>
      </c>
      <c r="D229" s="1223">
        <v>0</v>
      </c>
      <c r="E229" s="1224" t="str">
        <f t="shared" si="6"/>
        <v>No</v>
      </c>
    </row>
    <row r="230" spans="1:5" ht="12.75">
      <c r="A230" s="1221"/>
      <c r="B230" s="1221">
        <v>6</v>
      </c>
      <c r="C230" s="1229" t="s">
        <v>1159</v>
      </c>
      <c r="D230" s="1223">
        <v>6095.93</v>
      </c>
      <c r="E230" s="1224" t="str">
        <f t="shared" si="6"/>
        <v>No</v>
      </c>
    </row>
    <row r="231" spans="1:5" ht="12.75">
      <c r="A231" s="1221"/>
      <c r="B231" s="1221">
        <v>7</v>
      </c>
      <c r="C231" s="1229" t="s">
        <v>1160</v>
      </c>
      <c r="D231" s="1223">
        <v>13234.51</v>
      </c>
      <c r="E231" s="1224" t="str">
        <f t="shared" si="6"/>
        <v>No</v>
      </c>
    </row>
    <row r="232" spans="1:5" ht="12.75">
      <c r="A232" s="1221"/>
      <c r="B232" s="1221">
        <v>8</v>
      </c>
      <c r="C232" s="1229" t="s">
        <v>1181</v>
      </c>
      <c r="D232" s="1223">
        <v>11791.68</v>
      </c>
      <c r="E232" s="1224" t="str">
        <f t="shared" si="6"/>
        <v>No</v>
      </c>
    </row>
    <row r="233" spans="1:5" ht="12.75">
      <c r="A233" s="1221"/>
      <c r="B233" s="1221">
        <v>9</v>
      </c>
      <c r="C233" s="1229" t="s">
        <v>1161</v>
      </c>
      <c r="D233" s="1223">
        <v>20320</v>
      </c>
      <c r="E233" s="1224" t="str">
        <f t="shared" si="6"/>
        <v>No</v>
      </c>
    </row>
    <row r="234" spans="1:5" ht="12.75">
      <c r="A234" s="1221"/>
      <c r="B234" s="1221">
        <v>10</v>
      </c>
      <c r="C234" s="1229" t="s">
        <v>1162</v>
      </c>
      <c r="D234" s="1223">
        <v>4950</v>
      </c>
      <c r="E234" s="1224" t="str">
        <f t="shared" si="6"/>
        <v>No</v>
      </c>
    </row>
    <row r="235" spans="1:5" ht="12.75">
      <c r="A235" s="1221"/>
      <c r="B235" s="1221">
        <v>12</v>
      </c>
      <c r="C235" s="1229" t="s">
        <v>1164</v>
      </c>
      <c r="D235" s="1223">
        <v>0</v>
      </c>
      <c r="E235" s="1224" t="str">
        <f t="shared" si="6"/>
        <v>No</v>
      </c>
    </row>
    <row r="236" spans="1:5" ht="12.75">
      <c r="A236" s="1221"/>
      <c r="B236" s="1221">
        <v>13</v>
      </c>
      <c r="C236" s="1229" t="s">
        <v>1165</v>
      </c>
      <c r="D236" s="1223">
        <v>492472.97</v>
      </c>
      <c r="E236" s="1224" t="str">
        <f t="shared" si="6"/>
        <v>No</v>
      </c>
    </row>
    <row r="237" spans="1:5" ht="12.75">
      <c r="A237" s="1221"/>
      <c r="B237" s="1221">
        <v>14</v>
      </c>
      <c r="C237" s="1229" t="s">
        <v>1152</v>
      </c>
      <c r="D237" s="1223">
        <v>356727.12</v>
      </c>
      <c r="E237" s="1224" t="str">
        <f t="shared" si="6"/>
        <v>No</v>
      </c>
    </row>
    <row r="238" spans="1:5" ht="12.75">
      <c r="A238" s="1221"/>
      <c r="B238" s="1221">
        <v>17</v>
      </c>
      <c r="C238" s="1229" t="s">
        <v>1168</v>
      </c>
      <c r="D238" s="1223">
        <v>691375.86</v>
      </c>
      <c r="E238" s="1224" t="str">
        <f t="shared" si="6"/>
        <v>No</v>
      </c>
    </row>
    <row r="239" spans="1:5" ht="12.75">
      <c r="A239" s="1221"/>
      <c r="B239" s="1221">
        <v>18</v>
      </c>
      <c r="C239" s="1229" t="s">
        <v>1172</v>
      </c>
      <c r="D239" s="1223">
        <v>613955.02</v>
      </c>
      <c r="E239" s="1224" t="str">
        <f t="shared" si="6"/>
        <v>No</v>
      </c>
    </row>
    <row r="240" spans="1:5" ht="12.75">
      <c r="A240" s="1221"/>
      <c r="B240" s="1221">
        <v>25</v>
      </c>
      <c r="C240" s="1229" t="s">
        <v>1176</v>
      </c>
      <c r="D240" s="1223">
        <v>2314489.55</v>
      </c>
      <c r="E240" s="1224" t="str">
        <f t="shared" si="6"/>
        <v>No</v>
      </c>
    </row>
    <row r="241" spans="1:5" ht="12.75">
      <c r="A241" s="1221"/>
      <c r="B241" s="1221">
        <v>26</v>
      </c>
      <c r="C241" s="1229" t="s">
        <v>1177</v>
      </c>
      <c r="D241" s="1223">
        <v>5698937.91</v>
      </c>
      <c r="E241" s="1224" t="str">
        <f t="shared" si="6"/>
        <v>No</v>
      </c>
    </row>
    <row r="242" spans="1:5" ht="12.75">
      <c r="A242" s="1221"/>
      <c r="B242" s="1221">
        <v>27</v>
      </c>
      <c r="C242" s="1229" t="s">
        <v>1153</v>
      </c>
      <c r="D242" s="1223">
        <v>12952899.72</v>
      </c>
      <c r="E242" s="1224" t="str">
        <f t="shared" si="6"/>
        <v>No</v>
      </c>
    </row>
    <row r="243" spans="1:5" ht="12.75">
      <c r="A243" s="1221"/>
      <c r="B243" s="1221">
        <v>28</v>
      </c>
      <c r="C243" s="1229" t="s">
        <v>1178</v>
      </c>
      <c r="D243" s="1223">
        <v>3592284.86</v>
      </c>
      <c r="E243" s="1224" t="str">
        <f t="shared" si="6"/>
        <v>No</v>
      </c>
    </row>
    <row r="244" spans="1:5" ht="12.75">
      <c r="A244" s="1221"/>
      <c r="B244" s="1221">
        <v>29</v>
      </c>
      <c r="C244" s="1229" t="s">
        <v>1182</v>
      </c>
      <c r="D244" s="1223">
        <v>503530.32</v>
      </c>
      <c r="E244" s="1224" t="str">
        <f t="shared" si="6"/>
        <v>No</v>
      </c>
    </row>
    <row r="245" spans="1:5" ht="12.75">
      <c r="A245" s="1221"/>
      <c r="B245" s="1221">
        <v>31</v>
      </c>
      <c r="C245" s="1229" t="s">
        <v>1179</v>
      </c>
      <c r="D245" s="1223">
        <v>1465772.74</v>
      </c>
      <c r="E245" s="1224" t="str">
        <f t="shared" si="6"/>
        <v>No</v>
      </c>
    </row>
    <row r="246" spans="1:5" ht="12.75">
      <c r="A246" s="1221"/>
      <c r="B246" s="1221">
        <v>33</v>
      </c>
      <c r="C246" s="1229" t="s">
        <v>1183</v>
      </c>
      <c r="D246" s="1223">
        <v>13925</v>
      </c>
      <c r="E246" s="1224" t="str">
        <f t="shared" si="6"/>
        <v>No</v>
      </c>
    </row>
    <row r="247" spans="1:5" ht="12.75">
      <c r="A247" s="1221"/>
      <c r="B247" s="1221">
        <v>34</v>
      </c>
      <c r="C247" s="1229" t="s">
        <v>1173</v>
      </c>
      <c r="D247" s="1223">
        <v>0</v>
      </c>
      <c r="E247" s="1224" t="str">
        <f t="shared" si="6"/>
        <v>No</v>
      </c>
    </row>
    <row r="248" spans="1:5" ht="12.75">
      <c r="A248" s="1221"/>
      <c r="B248" s="1221">
        <v>39</v>
      </c>
      <c r="C248" s="1229" t="s">
        <v>1170</v>
      </c>
      <c r="D248" s="1223">
        <v>190495.41</v>
      </c>
      <c r="E248" s="1224" t="str">
        <f t="shared" si="6"/>
        <v>No</v>
      </c>
    </row>
    <row r="249" spans="1:5" ht="12.75">
      <c r="A249" s="1221">
        <v>162110</v>
      </c>
      <c r="B249" s="1221" t="s">
        <v>972</v>
      </c>
      <c r="C249" s="1222" t="s">
        <v>1184</v>
      </c>
      <c r="D249" s="1223">
        <v>0</v>
      </c>
      <c r="E249" s="1228">
        <f>SUM(D250:D251)</f>
        <v>710738</v>
      </c>
    </row>
    <row r="250" spans="1:5" ht="12.75">
      <c r="A250" s="1221"/>
      <c r="B250" s="1221">
        <v>30</v>
      </c>
      <c r="C250" s="1229" t="s">
        <v>1071</v>
      </c>
      <c r="D250" s="1223">
        <v>621973</v>
      </c>
      <c r="E250" s="1224" t="str">
        <f>IF(A250&gt;0,D250,"No")</f>
        <v>No</v>
      </c>
    </row>
    <row r="251" spans="1:5" ht="12.75">
      <c r="A251" s="1221"/>
      <c r="B251" s="1221">
        <v>40</v>
      </c>
      <c r="C251" s="1229" t="s">
        <v>1072</v>
      </c>
      <c r="D251" s="1223">
        <v>88765</v>
      </c>
      <c r="E251" s="1224" t="str">
        <f>IF(A251&gt;0,D251,"No")</f>
        <v>No</v>
      </c>
    </row>
    <row r="252" spans="1:5" ht="12.75">
      <c r="A252" s="1221">
        <v>162111</v>
      </c>
      <c r="B252" s="1221" t="s">
        <v>972</v>
      </c>
      <c r="C252" s="1222" t="s">
        <v>1099</v>
      </c>
      <c r="D252" s="1223">
        <v>0</v>
      </c>
      <c r="E252" s="1228">
        <f>SUM(D253)</f>
        <v>5836500</v>
      </c>
    </row>
    <row r="253" spans="1:5" ht="12.75">
      <c r="A253" s="1221"/>
      <c r="B253" s="1221">
        <v>40</v>
      </c>
      <c r="C253" s="1229" t="s">
        <v>1072</v>
      </c>
      <c r="D253" s="1223">
        <v>5836500</v>
      </c>
      <c r="E253" s="1224" t="str">
        <f>IF(A253&gt;0,D253,"No")</f>
        <v>No</v>
      </c>
    </row>
    <row r="254" spans="1:5" ht="12.75">
      <c r="A254" s="1221">
        <v>162120</v>
      </c>
      <c r="B254" s="1221" t="s">
        <v>972</v>
      </c>
      <c r="C254" s="1222" t="s">
        <v>1185</v>
      </c>
      <c r="D254" s="1223">
        <v>0</v>
      </c>
      <c r="E254" s="1228">
        <f>SUM(D255:D256)</f>
        <v>10536912.75</v>
      </c>
    </row>
    <row r="255" spans="1:5" ht="12.75">
      <c r="A255" s="1221"/>
      <c r="B255" s="1221">
        <v>30</v>
      </c>
      <c r="C255" s="1229" t="s">
        <v>1071</v>
      </c>
      <c r="D255" s="1223">
        <v>10312014.96</v>
      </c>
      <c r="E255" s="1224" t="str">
        <f>IF(A255&gt;0,D255,"No")</f>
        <v>No</v>
      </c>
    </row>
    <row r="256" spans="1:5" ht="12.75">
      <c r="A256" s="1221"/>
      <c r="B256" s="1221">
        <v>40</v>
      </c>
      <c r="C256" s="1229" t="s">
        <v>1072</v>
      </c>
      <c r="D256" s="1223">
        <v>224897.79</v>
      </c>
      <c r="E256" s="1224" t="str">
        <f>IF(A256&gt;0,D256,"No")</f>
        <v>No</v>
      </c>
    </row>
    <row r="257" spans="1:5" ht="12.75">
      <c r="A257" s="1221">
        <v>162121</v>
      </c>
      <c r="B257" s="1221" t="s">
        <v>972</v>
      </c>
      <c r="C257" s="1222" t="s">
        <v>1186</v>
      </c>
      <c r="D257" s="1223">
        <v>0</v>
      </c>
      <c r="E257" s="1224">
        <f>IF(A257&gt;0,D257,"No")</f>
        <v>0</v>
      </c>
    </row>
    <row r="258" spans="1:5" ht="12.75">
      <c r="A258" s="1221">
        <v>162122</v>
      </c>
      <c r="B258" s="1221" t="s">
        <v>972</v>
      </c>
      <c r="C258" s="1222" t="s">
        <v>1212</v>
      </c>
      <c r="D258" s="1223">
        <v>0</v>
      </c>
      <c r="E258" s="1228">
        <f>SUM(D259:D260)</f>
        <v>318895.85</v>
      </c>
    </row>
    <row r="259" spans="1:5" ht="12.75">
      <c r="A259" s="1221"/>
      <c r="B259" s="1221">
        <v>30</v>
      </c>
      <c r="C259" s="1229" t="s">
        <v>1071</v>
      </c>
      <c r="D259" s="1223">
        <v>259554.35</v>
      </c>
      <c r="E259" s="1224" t="str">
        <f>IF(A259&gt;0,D259,"No")</f>
        <v>No</v>
      </c>
    </row>
    <row r="260" spans="1:5" ht="12.75">
      <c r="A260" s="1221"/>
      <c r="B260" s="1221">
        <v>40</v>
      </c>
      <c r="C260" s="1229" t="s">
        <v>1072</v>
      </c>
      <c r="D260" s="1223">
        <v>59341.5</v>
      </c>
      <c r="E260" s="1224" t="str">
        <f>IF(A260&gt;0,D260,"No")</f>
        <v>No</v>
      </c>
    </row>
    <row r="261" spans="1:5" ht="12.75">
      <c r="A261" s="1221">
        <v>162123</v>
      </c>
      <c r="B261" s="1221" t="s">
        <v>972</v>
      </c>
      <c r="C261" s="1222" t="s">
        <v>0</v>
      </c>
      <c r="D261" s="1223">
        <v>0</v>
      </c>
      <c r="E261" s="1224">
        <f>IF(A261&gt;0,D261,"No")</f>
        <v>0</v>
      </c>
    </row>
    <row r="262" spans="1:5" ht="12.75">
      <c r="A262" s="1221">
        <v>162124</v>
      </c>
      <c r="B262" s="1221" t="s">
        <v>972</v>
      </c>
      <c r="C262" s="1222" t="s">
        <v>1</v>
      </c>
      <c r="D262" s="1223">
        <v>0</v>
      </c>
      <c r="E262" s="1228">
        <f>SUM(D263)</f>
        <v>0</v>
      </c>
    </row>
    <row r="263" spans="1:5" ht="12.75">
      <c r="A263" s="1221"/>
      <c r="B263" s="1221">
        <v>30</v>
      </c>
      <c r="C263" s="1229" t="s">
        <v>1071</v>
      </c>
      <c r="D263" s="1223">
        <v>0</v>
      </c>
      <c r="E263" s="1224" t="str">
        <f>IF(A263&gt;0,D263,"No")</f>
        <v>No</v>
      </c>
    </row>
    <row r="264" spans="1:5" ht="12.75">
      <c r="A264" s="1221">
        <v>162130</v>
      </c>
      <c r="B264" s="1221" t="s">
        <v>972</v>
      </c>
      <c r="C264" s="1222" t="s">
        <v>2</v>
      </c>
      <c r="D264" s="1223">
        <v>0</v>
      </c>
      <c r="E264" s="1224">
        <f>IF(A264&gt;0,D264,"No")</f>
        <v>0</v>
      </c>
    </row>
    <row r="265" spans="1:5" ht="12.75">
      <c r="A265" s="1221">
        <v>165120</v>
      </c>
      <c r="B265" s="1221" t="s">
        <v>972</v>
      </c>
      <c r="C265" s="1222" t="s">
        <v>3</v>
      </c>
      <c r="D265" s="1223">
        <v>0</v>
      </c>
      <c r="E265" s="1228">
        <f>SUM(D266:D268)</f>
        <v>-39139637.4</v>
      </c>
    </row>
    <row r="266" spans="1:5" ht="12.75">
      <c r="A266" s="1221"/>
      <c r="B266" s="1221">
        <v>2</v>
      </c>
      <c r="C266" s="1229" t="s">
        <v>1151</v>
      </c>
      <c r="D266" s="1223">
        <v>-19453472.41</v>
      </c>
      <c r="E266" s="1224" t="str">
        <f>IF(A266&gt;0,D266,"No")</f>
        <v>No</v>
      </c>
    </row>
    <row r="267" spans="1:5" ht="12.75">
      <c r="A267" s="1221"/>
      <c r="B267" s="1221">
        <v>14</v>
      </c>
      <c r="C267" s="1229" t="s">
        <v>1152</v>
      </c>
      <c r="D267" s="1223">
        <v>-12513504.3</v>
      </c>
      <c r="E267" s="1224" t="str">
        <f>IF(A267&gt;0,D267,"No")</f>
        <v>No</v>
      </c>
    </row>
    <row r="268" spans="1:5" ht="12.75">
      <c r="A268" s="1221"/>
      <c r="B268" s="1221">
        <v>27</v>
      </c>
      <c r="C268" s="1229" t="s">
        <v>1153</v>
      </c>
      <c r="D268" s="1223">
        <v>-7172660.69</v>
      </c>
      <c r="E268" s="1224" t="str">
        <f>IF(A268&gt;0,D268,"No")</f>
        <v>No</v>
      </c>
    </row>
    <row r="269" spans="1:5" ht="12.75">
      <c r="A269" s="1221">
        <v>165121</v>
      </c>
      <c r="B269" s="1221" t="s">
        <v>972</v>
      </c>
      <c r="C269" s="1222" t="s">
        <v>1101</v>
      </c>
      <c r="D269" s="1223">
        <v>0</v>
      </c>
      <c r="E269" s="1228">
        <f>SUM(D270:D272)</f>
        <v>-39790011.74</v>
      </c>
    </row>
    <row r="270" spans="1:5" ht="12.75">
      <c r="A270" s="1221"/>
      <c r="B270" s="1221">
        <v>2</v>
      </c>
      <c r="C270" s="1229" t="s">
        <v>1151</v>
      </c>
      <c r="D270" s="1223">
        <v>-32486762.98</v>
      </c>
      <c r="E270" s="1224" t="str">
        <f>IF(A270&gt;0,D270,"No")</f>
        <v>No</v>
      </c>
    </row>
    <row r="271" spans="1:5" ht="12.75">
      <c r="A271" s="1221"/>
      <c r="B271" s="1221">
        <v>14</v>
      </c>
      <c r="C271" s="1229" t="s">
        <v>1152</v>
      </c>
      <c r="D271" s="1223">
        <v>-5781510.19</v>
      </c>
      <c r="E271" s="1224" t="str">
        <f>IF(A271&gt;0,D271,"No")</f>
        <v>No</v>
      </c>
    </row>
    <row r="272" spans="1:5" ht="12.75">
      <c r="A272" s="1221"/>
      <c r="B272" s="1221">
        <v>27</v>
      </c>
      <c r="C272" s="1229" t="s">
        <v>1153</v>
      </c>
      <c r="D272" s="1223">
        <v>-1521738.57</v>
      </c>
      <c r="E272" s="1224" t="str">
        <f>IF(A272&gt;0,D272,"No")</f>
        <v>No</v>
      </c>
    </row>
    <row r="273" spans="1:5" ht="12.75">
      <c r="A273" s="1221">
        <v>165122</v>
      </c>
      <c r="B273" s="1221" t="s">
        <v>972</v>
      </c>
      <c r="C273" s="1222" t="s">
        <v>4</v>
      </c>
      <c r="D273" s="1223">
        <v>0</v>
      </c>
      <c r="E273" s="1228">
        <f>SUM(D274)</f>
        <v>-748656.81</v>
      </c>
    </row>
    <row r="274" spans="1:5" ht="12.75">
      <c r="A274" s="1221"/>
      <c r="B274" s="1221">
        <v>27</v>
      </c>
      <c r="C274" s="1229" t="s">
        <v>1153</v>
      </c>
      <c r="D274" s="1223">
        <v>-748656.81</v>
      </c>
      <c r="E274" s="1224" t="str">
        <f>IF(A274&gt;0,D274,"No")</f>
        <v>No</v>
      </c>
    </row>
    <row r="275" spans="1:5" ht="12.75">
      <c r="A275" s="1221">
        <v>165130</v>
      </c>
      <c r="B275" s="1221" t="s">
        <v>972</v>
      </c>
      <c r="C275" s="1222" t="s">
        <v>5</v>
      </c>
      <c r="D275" s="1223">
        <v>0</v>
      </c>
      <c r="E275" s="1228">
        <f>SUM(D276:D292)</f>
        <v>-207726135.77</v>
      </c>
    </row>
    <row r="276" spans="1:5" ht="12.75">
      <c r="A276" s="1221"/>
      <c r="B276" s="1221">
        <v>2</v>
      </c>
      <c r="C276" s="1229" t="s">
        <v>1151</v>
      </c>
      <c r="D276" s="1223">
        <v>0</v>
      </c>
      <c r="E276" s="1224" t="str">
        <f aca="true" t="shared" si="7" ref="E276:E292">IF(A276&gt;0,D276,"No")</f>
        <v>No</v>
      </c>
    </row>
    <row r="277" spans="1:5" ht="12.75">
      <c r="A277" s="1221"/>
      <c r="B277" s="1221">
        <v>3</v>
      </c>
      <c r="C277" s="1229" t="s">
        <v>1156</v>
      </c>
      <c r="D277" s="1223">
        <v>-321485</v>
      </c>
      <c r="E277" s="1224" t="str">
        <f t="shared" si="7"/>
        <v>No</v>
      </c>
    </row>
    <row r="278" spans="1:5" ht="12.75">
      <c r="A278" s="1221"/>
      <c r="B278" s="1221">
        <v>4</v>
      </c>
      <c r="C278" s="1229" t="s">
        <v>1157</v>
      </c>
      <c r="D278" s="1223">
        <v>-26214477.05</v>
      </c>
      <c r="E278" s="1224" t="str">
        <f t="shared" si="7"/>
        <v>No</v>
      </c>
    </row>
    <row r="279" spans="1:5" ht="12.75">
      <c r="A279" s="1221"/>
      <c r="B279" s="1221">
        <v>5</v>
      </c>
      <c r="C279" s="1229" t="s">
        <v>1158</v>
      </c>
      <c r="D279" s="1223">
        <v>-30804287.42</v>
      </c>
      <c r="E279" s="1224" t="str">
        <f t="shared" si="7"/>
        <v>No</v>
      </c>
    </row>
    <row r="280" spans="1:5" ht="12.75">
      <c r="A280" s="1221"/>
      <c r="B280" s="1221">
        <v>6</v>
      </c>
      <c r="C280" s="1229" t="s">
        <v>1159</v>
      </c>
      <c r="D280" s="1223">
        <v>-11137402.65</v>
      </c>
      <c r="E280" s="1224" t="str">
        <f t="shared" si="7"/>
        <v>No</v>
      </c>
    </row>
    <row r="281" spans="1:5" ht="12.75">
      <c r="A281" s="1221"/>
      <c r="B281" s="1221">
        <v>7</v>
      </c>
      <c r="C281" s="1229" t="s">
        <v>1160</v>
      </c>
      <c r="D281" s="1223">
        <v>-940787.69</v>
      </c>
      <c r="E281" s="1224" t="str">
        <f t="shared" si="7"/>
        <v>No</v>
      </c>
    </row>
    <row r="282" spans="1:5" ht="12.75">
      <c r="A282" s="1221"/>
      <c r="B282" s="1221">
        <v>9</v>
      </c>
      <c r="C282" s="1229" t="s">
        <v>1161</v>
      </c>
      <c r="D282" s="1223">
        <v>-426436.43</v>
      </c>
      <c r="E282" s="1224" t="str">
        <f t="shared" si="7"/>
        <v>No</v>
      </c>
    </row>
    <row r="283" spans="1:5" ht="12.75">
      <c r="A283" s="1221"/>
      <c r="B283" s="1221">
        <v>10</v>
      </c>
      <c r="C283" s="1229" t="s">
        <v>1162</v>
      </c>
      <c r="D283" s="1223">
        <v>-7275534.0600000005</v>
      </c>
      <c r="E283" s="1224" t="str">
        <f t="shared" si="7"/>
        <v>No</v>
      </c>
    </row>
    <row r="284" spans="1:5" ht="12.75">
      <c r="A284" s="1221"/>
      <c r="B284" s="1221">
        <v>11</v>
      </c>
      <c r="C284" s="1229" t="s">
        <v>1163</v>
      </c>
      <c r="D284" s="1223">
        <v>0</v>
      </c>
      <c r="E284" s="1224" t="str">
        <f t="shared" si="7"/>
        <v>No</v>
      </c>
    </row>
    <row r="285" spans="1:5" ht="12.75">
      <c r="A285" s="1221"/>
      <c r="B285" s="1221">
        <v>12</v>
      </c>
      <c r="C285" s="1229" t="s">
        <v>1164</v>
      </c>
      <c r="D285" s="1223">
        <v>0</v>
      </c>
      <c r="E285" s="1224" t="str">
        <f t="shared" si="7"/>
        <v>No</v>
      </c>
    </row>
    <row r="286" spans="1:5" ht="12.75">
      <c r="A286" s="1221"/>
      <c r="B286" s="1221">
        <v>13</v>
      </c>
      <c r="C286" s="1229" t="s">
        <v>1165</v>
      </c>
      <c r="D286" s="1223">
        <v>-4299</v>
      </c>
      <c r="E286" s="1224" t="str">
        <f t="shared" si="7"/>
        <v>No</v>
      </c>
    </row>
    <row r="287" spans="1:5" ht="12.75">
      <c r="A287" s="1221"/>
      <c r="B287" s="1221">
        <v>15</v>
      </c>
      <c r="C287" s="1229" t="s">
        <v>1166</v>
      </c>
      <c r="D287" s="1223">
        <v>-59005840.81</v>
      </c>
      <c r="E287" s="1224" t="str">
        <f t="shared" si="7"/>
        <v>No</v>
      </c>
    </row>
    <row r="288" spans="1:5" ht="12.75">
      <c r="A288" s="1221"/>
      <c r="B288" s="1221">
        <v>16</v>
      </c>
      <c r="C288" s="1229" t="s">
        <v>1167</v>
      </c>
      <c r="D288" s="1223">
        <v>-367114.47</v>
      </c>
      <c r="E288" s="1224" t="str">
        <f t="shared" si="7"/>
        <v>No</v>
      </c>
    </row>
    <row r="289" spans="1:5" ht="12.75">
      <c r="A289" s="1221"/>
      <c r="B289" s="1221">
        <v>17</v>
      </c>
      <c r="C289" s="1229" t="s">
        <v>1168</v>
      </c>
      <c r="D289" s="1223">
        <v>-576199</v>
      </c>
      <c r="E289" s="1224" t="str">
        <f t="shared" si="7"/>
        <v>No</v>
      </c>
    </row>
    <row r="290" spans="1:5" ht="12.75">
      <c r="A290" s="1221"/>
      <c r="B290" s="1221">
        <v>32</v>
      </c>
      <c r="C290" s="1229" t="s">
        <v>1169</v>
      </c>
      <c r="D290" s="1223">
        <v>-50278640.54</v>
      </c>
      <c r="E290" s="1224" t="str">
        <f t="shared" si="7"/>
        <v>No</v>
      </c>
    </row>
    <row r="291" spans="1:5" ht="12.75">
      <c r="A291" s="1221"/>
      <c r="B291" s="1221">
        <v>39</v>
      </c>
      <c r="C291" s="1229" t="s">
        <v>1170</v>
      </c>
      <c r="D291" s="1223">
        <v>-1193924.36</v>
      </c>
      <c r="E291" s="1224" t="str">
        <f t="shared" si="7"/>
        <v>No</v>
      </c>
    </row>
    <row r="292" spans="1:5" ht="12.75">
      <c r="A292" s="1221"/>
      <c r="B292" s="1221">
        <v>43</v>
      </c>
      <c r="C292" s="1229" t="s">
        <v>959</v>
      </c>
      <c r="D292" s="1223">
        <v>-19179707.29</v>
      </c>
      <c r="E292" s="1224" t="str">
        <f t="shared" si="7"/>
        <v>No</v>
      </c>
    </row>
    <row r="293" spans="1:5" ht="12.75">
      <c r="A293" s="1221">
        <v>165140</v>
      </c>
      <c r="B293" s="1221" t="s">
        <v>972</v>
      </c>
      <c r="C293" s="1222" t="s">
        <v>6</v>
      </c>
      <c r="D293" s="1223">
        <v>0</v>
      </c>
      <c r="E293" s="1228">
        <f>SUM(D294:D296)</f>
        <v>-7385025.58</v>
      </c>
    </row>
    <row r="294" spans="1:5" ht="12.75">
      <c r="A294" s="1221"/>
      <c r="B294" s="1221">
        <v>18</v>
      </c>
      <c r="C294" s="1229" t="s">
        <v>1172</v>
      </c>
      <c r="D294" s="1223">
        <v>-523236.58</v>
      </c>
      <c r="E294" s="1224" t="str">
        <f>IF(A294&gt;0,D294,"No")</f>
        <v>No</v>
      </c>
    </row>
    <row r="295" spans="1:5" ht="12.75">
      <c r="A295" s="1221"/>
      <c r="B295" s="1221">
        <v>27</v>
      </c>
      <c r="C295" s="1229" t="s">
        <v>1153</v>
      </c>
      <c r="D295" s="1223">
        <v>-6861789</v>
      </c>
      <c r="E295" s="1224" t="str">
        <f>IF(A295&gt;0,D295,"No")</f>
        <v>No</v>
      </c>
    </row>
    <row r="296" spans="1:5" ht="12.75">
      <c r="A296" s="1221"/>
      <c r="B296" s="1221">
        <v>34</v>
      </c>
      <c r="C296" s="1229" t="s">
        <v>1173</v>
      </c>
      <c r="D296" s="1223">
        <v>0</v>
      </c>
      <c r="E296" s="1224" t="str">
        <f>IF(A296&gt;0,D296,"No")</f>
        <v>No</v>
      </c>
    </row>
    <row r="297" spans="1:5" ht="12.75">
      <c r="A297" s="1221">
        <v>165150</v>
      </c>
      <c r="B297" s="1221" t="s">
        <v>972</v>
      </c>
      <c r="C297" s="1222" t="s">
        <v>7</v>
      </c>
      <c r="D297" s="1223">
        <v>0</v>
      </c>
      <c r="E297" s="1228">
        <f>SUM(D298:D321)</f>
        <v>-41762127.55</v>
      </c>
    </row>
    <row r="298" spans="1:5" ht="12.75">
      <c r="A298" s="1221"/>
      <c r="B298" s="1221">
        <v>1</v>
      </c>
      <c r="C298" s="1229" t="s">
        <v>1175</v>
      </c>
      <c r="D298" s="1223">
        <v>-17999</v>
      </c>
      <c r="E298" s="1224" t="str">
        <f aca="true" t="shared" si="8" ref="E298:E321">IF(A298&gt;0,D298,"No")</f>
        <v>No</v>
      </c>
    </row>
    <row r="299" spans="1:5" ht="12.75">
      <c r="A299" s="1221"/>
      <c r="B299" s="1221">
        <v>2</v>
      </c>
      <c r="C299" s="1229" t="s">
        <v>1151</v>
      </c>
      <c r="D299" s="1223">
        <v>-2109854.01</v>
      </c>
      <c r="E299" s="1224" t="str">
        <f t="shared" si="8"/>
        <v>No</v>
      </c>
    </row>
    <row r="300" spans="1:5" ht="12.75">
      <c r="A300" s="1221"/>
      <c r="B300" s="1221">
        <v>3</v>
      </c>
      <c r="C300" s="1229" t="s">
        <v>1156</v>
      </c>
      <c r="D300" s="1223">
        <v>-228809</v>
      </c>
      <c r="E300" s="1224" t="str">
        <f t="shared" si="8"/>
        <v>No</v>
      </c>
    </row>
    <row r="301" spans="1:5" ht="12.75">
      <c r="A301" s="1221"/>
      <c r="B301" s="1221">
        <v>4</v>
      </c>
      <c r="C301" s="1229" t="s">
        <v>1157</v>
      </c>
      <c r="D301" s="1223">
        <v>-5725952.08</v>
      </c>
      <c r="E301" s="1224" t="str">
        <f t="shared" si="8"/>
        <v>No</v>
      </c>
    </row>
    <row r="302" spans="1:5" ht="12.75">
      <c r="A302" s="1221"/>
      <c r="B302" s="1221">
        <v>5</v>
      </c>
      <c r="C302" s="1229" t="s">
        <v>1158</v>
      </c>
      <c r="D302" s="1223">
        <v>-7691354.25</v>
      </c>
      <c r="E302" s="1224" t="str">
        <f t="shared" si="8"/>
        <v>No</v>
      </c>
    </row>
    <row r="303" spans="1:5" ht="12.75">
      <c r="A303" s="1221"/>
      <c r="B303" s="1221">
        <v>6</v>
      </c>
      <c r="C303" s="1229" t="s">
        <v>1159</v>
      </c>
      <c r="D303" s="1223">
        <v>-3922870.19</v>
      </c>
      <c r="E303" s="1224" t="str">
        <f t="shared" si="8"/>
        <v>No</v>
      </c>
    </row>
    <row r="304" spans="1:5" ht="12.75">
      <c r="A304" s="1221"/>
      <c r="B304" s="1221">
        <v>7</v>
      </c>
      <c r="C304" s="1229" t="s">
        <v>1160</v>
      </c>
      <c r="D304" s="1223">
        <v>-140123.75</v>
      </c>
      <c r="E304" s="1224" t="str">
        <f t="shared" si="8"/>
        <v>No</v>
      </c>
    </row>
    <row r="305" spans="1:5" ht="12.75">
      <c r="A305" s="1221"/>
      <c r="B305" s="1221">
        <v>9</v>
      </c>
      <c r="C305" s="1229" t="s">
        <v>1161</v>
      </c>
      <c r="D305" s="1223">
        <v>-216823.41</v>
      </c>
      <c r="E305" s="1224" t="str">
        <f t="shared" si="8"/>
        <v>No</v>
      </c>
    </row>
    <row r="306" spans="1:5" ht="12.75">
      <c r="A306" s="1221"/>
      <c r="B306" s="1221">
        <v>10</v>
      </c>
      <c r="C306" s="1229" t="s">
        <v>1162</v>
      </c>
      <c r="D306" s="1223">
        <v>-493920.86</v>
      </c>
      <c r="E306" s="1224" t="str">
        <f t="shared" si="8"/>
        <v>No</v>
      </c>
    </row>
    <row r="307" spans="1:5" ht="12.75">
      <c r="A307" s="1221"/>
      <c r="B307" s="1221">
        <v>11</v>
      </c>
      <c r="C307" s="1229" t="s">
        <v>1163</v>
      </c>
      <c r="D307" s="1223">
        <v>0</v>
      </c>
      <c r="E307" s="1224" t="str">
        <f t="shared" si="8"/>
        <v>No</v>
      </c>
    </row>
    <row r="308" spans="1:5" ht="12.75">
      <c r="A308" s="1221"/>
      <c r="B308" s="1221">
        <v>12</v>
      </c>
      <c r="C308" s="1229" t="s">
        <v>1164</v>
      </c>
      <c r="D308" s="1223">
        <v>-206774.9</v>
      </c>
      <c r="E308" s="1224" t="str">
        <f t="shared" si="8"/>
        <v>No</v>
      </c>
    </row>
    <row r="309" spans="1:5" ht="12.75">
      <c r="A309" s="1221"/>
      <c r="B309" s="1221">
        <v>13</v>
      </c>
      <c r="C309" s="1229" t="s">
        <v>1165</v>
      </c>
      <c r="D309" s="1223">
        <v>-2105849.15</v>
      </c>
      <c r="E309" s="1224" t="str">
        <f t="shared" si="8"/>
        <v>No</v>
      </c>
    </row>
    <row r="310" spans="1:5" ht="12.75">
      <c r="A310" s="1221"/>
      <c r="B310" s="1221">
        <v>15</v>
      </c>
      <c r="C310" s="1229" t="s">
        <v>1166</v>
      </c>
      <c r="D310" s="1223">
        <v>-3466561.25</v>
      </c>
      <c r="E310" s="1224" t="str">
        <f t="shared" si="8"/>
        <v>No</v>
      </c>
    </row>
    <row r="311" spans="1:5" ht="12.75">
      <c r="A311" s="1221"/>
      <c r="B311" s="1221">
        <v>16</v>
      </c>
      <c r="C311" s="1229" t="s">
        <v>1167</v>
      </c>
      <c r="D311" s="1223">
        <v>-601407.46</v>
      </c>
      <c r="E311" s="1224" t="str">
        <f t="shared" si="8"/>
        <v>No</v>
      </c>
    </row>
    <row r="312" spans="1:5" ht="12.75">
      <c r="A312" s="1221"/>
      <c r="B312" s="1221">
        <v>17</v>
      </c>
      <c r="C312" s="1229" t="s">
        <v>1168</v>
      </c>
      <c r="D312" s="1223">
        <v>-6704921.73</v>
      </c>
      <c r="E312" s="1224" t="str">
        <f t="shared" si="8"/>
        <v>No</v>
      </c>
    </row>
    <row r="313" spans="1:5" ht="12.75">
      <c r="A313" s="1221"/>
      <c r="B313" s="1221">
        <v>18</v>
      </c>
      <c r="C313" s="1229" t="s">
        <v>1172</v>
      </c>
      <c r="D313" s="1223">
        <v>-4719425.37</v>
      </c>
      <c r="E313" s="1224" t="str">
        <f t="shared" si="8"/>
        <v>No</v>
      </c>
    </row>
    <row r="314" spans="1:5" ht="12.75">
      <c r="A314" s="1221"/>
      <c r="B314" s="1221">
        <v>25</v>
      </c>
      <c r="C314" s="1229" t="s">
        <v>1176</v>
      </c>
      <c r="D314" s="1223">
        <v>-666373.58</v>
      </c>
      <c r="E314" s="1224" t="str">
        <f t="shared" si="8"/>
        <v>No</v>
      </c>
    </row>
    <row r="315" spans="1:5" ht="12.75">
      <c r="A315" s="1221"/>
      <c r="B315" s="1221">
        <v>26</v>
      </c>
      <c r="C315" s="1229" t="s">
        <v>1177</v>
      </c>
      <c r="D315" s="1223">
        <v>-11597</v>
      </c>
      <c r="E315" s="1224" t="str">
        <f t="shared" si="8"/>
        <v>No</v>
      </c>
    </row>
    <row r="316" spans="1:5" ht="12.75">
      <c r="A316" s="1221"/>
      <c r="B316" s="1221">
        <v>27</v>
      </c>
      <c r="C316" s="1229" t="s">
        <v>1153</v>
      </c>
      <c r="D316" s="1223">
        <v>-31051.2</v>
      </c>
      <c r="E316" s="1224" t="str">
        <f t="shared" si="8"/>
        <v>No</v>
      </c>
    </row>
    <row r="317" spans="1:5" ht="12.75">
      <c r="A317" s="1221"/>
      <c r="B317" s="1221">
        <v>28</v>
      </c>
      <c r="C317" s="1229" t="s">
        <v>1178</v>
      </c>
      <c r="D317" s="1223">
        <v>-38661.83</v>
      </c>
      <c r="E317" s="1224" t="str">
        <f t="shared" si="8"/>
        <v>No</v>
      </c>
    </row>
    <row r="318" spans="1:5" ht="12.75">
      <c r="A318" s="1221"/>
      <c r="B318" s="1221">
        <v>31</v>
      </c>
      <c r="C318" s="1229" t="s">
        <v>1179</v>
      </c>
      <c r="D318" s="1223">
        <v>-880784.86</v>
      </c>
      <c r="E318" s="1224" t="str">
        <f t="shared" si="8"/>
        <v>No</v>
      </c>
    </row>
    <row r="319" spans="1:5" ht="12.75">
      <c r="A319" s="1221"/>
      <c r="B319" s="1221">
        <v>32</v>
      </c>
      <c r="C319" s="1229" t="s">
        <v>1169</v>
      </c>
      <c r="D319" s="1223">
        <v>-268542.2</v>
      </c>
      <c r="E319" s="1224" t="str">
        <f t="shared" si="8"/>
        <v>No</v>
      </c>
    </row>
    <row r="320" spans="1:5" ht="12.75">
      <c r="A320" s="1221"/>
      <c r="B320" s="1221">
        <v>39</v>
      </c>
      <c r="C320" s="1229" t="s">
        <v>1170</v>
      </c>
      <c r="D320" s="1223">
        <v>-153470.16</v>
      </c>
      <c r="E320" s="1224" t="str">
        <f t="shared" si="8"/>
        <v>No</v>
      </c>
    </row>
    <row r="321" spans="1:5" ht="12.75">
      <c r="A321" s="1221"/>
      <c r="B321" s="1221">
        <v>43</v>
      </c>
      <c r="C321" s="1229" t="s">
        <v>959</v>
      </c>
      <c r="D321" s="1223">
        <v>-1359000.31</v>
      </c>
      <c r="E321" s="1224" t="str">
        <f t="shared" si="8"/>
        <v>No</v>
      </c>
    </row>
    <row r="322" spans="1:5" ht="12.75">
      <c r="A322" s="1221">
        <v>166110</v>
      </c>
      <c r="B322" s="1221" t="s">
        <v>972</v>
      </c>
      <c r="C322" s="1222" t="s">
        <v>8</v>
      </c>
      <c r="D322" s="1223">
        <v>0</v>
      </c>
      <c r="E322" s="1228">
        <f>SUM(D323:D345)</f>
        <v>-26450758.289999995</v>
      </c>
    </row>
    <row r="323" spans="1:5" ht="12.75">
      <c r="A323" s="1221"/>
      <c r="B323" s="1221">
        <v>1</v>
      </c>
      <c r="C323" s="1229" t="s">
        <v>1175</v>
      </c>
      <c r="D323" s="1223">
        <v>-478596.04</v>
      </c>
      <c r="E323" s="1224" t="str">
        <f aca="true" t="shared" si="9" ref="E323:E348">IF(A323&gt;0,D323,"No")</f>
        <v>No</v>
      </c>
    </row>
    <row r="324" spans="1:5" ht="12.75">
      <c r="A324" s="1221"/>
      <c r="B324" s="1221">
        <v>2</v>
      </c>
      <c r="C324" s="1229" t="s">
        <v>1151</v>
      </c>
      <c r="D324" s="1223">
        <v>-327128.14</v>
      </c>
      <c r="E324" s="1224" t="str">
        <f t="shared" si="9"/>
        <v>No</v>
      </c>
    </row>
    <row r="325" spans="1:5" ht="12.75">
      <c r="A325" s="1221"/>
      <c r="B325" s="1221">
        <v>3</v>
      </c>
      <c r="C325" s="1229" t="s">
        <v>1156</v>
      </c>
      <c r="D325" s="1223">
        <v>-10314.57</v>
      </c>
      <c r="E325" s="1224" t="str">
        <f t="shared" si="9"/>
        <v>No</v>
      </c>
    </row>
    <row r="326" spans="1:5" ht="12.75">
      <c r="A326" s="1221"/>
      <c r="B326" s="1221">
        <v>5</v>
      </c>
      <c r="C326" s="1229" t="s">
        <v>1158</v>
      </c>
      <c r="D326" s="1223">
        <v>0</v>
      </c>
      <c r="E326" s="1224" t="str">
        <f t="shared" si="9"/>
        <v>No</v>
      </c>
    </row>
    <row r="327" spans="1:5" ht="12.75">
      <c r="A327" s="1221"/>
      <c r="B327" s="1221">
        <v>6</v>
      </c>
      <c r="C327" s="1229" t="s">
        <v>1159</v>
      </c>
      <c r="D327" s="1223">
        <v>-3274.5</v>
      </c>
      <c r="E327" s="1224" t="str">
        <f t="shared" si="9"/>
        <v>No</v>
      </c>
    </row>
    <row r="328" spans="1:5" ht="12.75">
      <c r="A328" s="1221"/>
      <c r="B328" s="1221">
        <v>7</v>
      </c>
      <c r="C328" s="1229" t="s">
        <v>1160</v>
      </c>
      <c r="D328" s="1223">
        <v>-12196.3</v>
      </c>
      <c r="E328" s="1224" t="str">
        <f t="shared" si="9"/>
        <v>No</v>
      </c>
    </row>
    <row r="329" spans="1:5" ht="12.75">
      <c r="A329" s="1221"/>
      <c r="B329" s="1221">
        <v>8</v>
      </c>
      <c r="C329" s="1229" t="s">
        <v>1181</v>
      </c>
      <c r="D329" s="1223">
        <v>-11787.68</v>
      </c>
      <c r="E329" s="1224" t="str">
        <f t="shared" si="9"/>
        <v>No</v>
      </c>
    </row>
    <row r="330" spans="1:5" ht="12.75">
      <c r="A330" s="1221"/>
      <c r="B330" s="1221">
        <v>9</v>
      </c>
      <c r="C330" s="1229" t="s">
        <v>1161</v>
      </c>
      <c r="D330" s="1223">
        <v>-20316</v>
      </c>
      <c r="E330" s="1224" t="str">
        <f t="shared" si="9"/>
        <v>No</v>
      </c>
    </row>
    <row r="331" spans="1:5" ht="12.75">
      <c r="A331" s="1221"/>
      <c r="B331" s="1221">
        <v>10</v>
      </c>
      <c r="C331" s="1229" t="s">
        <v>1162</v>
      </c>
      <c r="D331" s="1223">
        <v>-4949</v>
      </c>
      <c r="E331" s="1224" t="str">
        <f t="shared" si="9"/>
        <v>No</v>
      </c>
    </row>
    <row r="332" spans="1:5" ht="12.75">
      <c r="A332" s="1221"/>
      <c r="B332" s="1221">
        <v>12</v>
      </c>
      <c r="C332" s="1229" t="s">
        <v>1164</v>
      </c>
      <c r="D332" s="1223">
        <v>0</v>
      </c>
      <c r="E332" s="1224" t="str">
        <f t="shared" si="9"/>
        <v>No</v>
      </c>
    </row>
    <row r="333" spans="1:5" ht="12.75">
      <c r="A333" s="1221"/>
      <c r="B333" s="1221">
        <v>13</v>
      </c>
      <c r="C333" s="1229" t="s">
        <v>1165</v>
      </c>
      <c r="D333" s="1223">
        <v>-388776.06</v>
      </c>
      <c r="E333" s="1224" t="str">
        <f t="shared" si="9"/>
        <v>No</v>
      </c>
    </row>
    <row r="334" spans="1:5" ht="12.75">
      <c r="A334" s="1221"/>
      <c r="B334" s="1221">
        <v>14</v>
      </c>
      <c r="C334" s="1229" t="s">
        <v>1152</v>
      </c>
      <c r="D334" s="1223">
        <v>-266329.06</v>
      </c>
      <c r="E334" s="1224" t="str">
        <f t="shared" si="9"/>
        <v>No</v>
      </c>
    </row>
    <row r="335" spans="1:5" ht="12.75">
      <c r="A335" s="1221"/>
      <c r="B335" s="1221">
        <v>17</v>
      </c>
      <c r="C335" s="1229" t="s">
        <v>1168</v>
      </c>
      <c r="D335" s="1223">
        <v>-580440.14</v>
      </c>
      <c r="E335" s="1224" t="str">
        <f t="shared" si="9"/>
        <v>No</v>
      </c>
    </row>
    <row r="336" spans="1:5" ht="12.75">
      <c r="A336" s="1221"/>
      <c r="B336" s="1221">
        <v>18</v>
      </c>
      <c r="C336" s="1229" t="s">
        <v>1172</v>
      </c>
      <c r="D336" s="1223">
        <v>-467431.28</v>
      </c>
      <c r="E336" s="1224" t="str">
        <f t="shared" si="9"/>
        <v>No</v>
      </c>
    </row>
    <row r="337" spans="1:5" ht="12.75">
      <c r="A337" s="1221"/>
      <c r="B337" s="1221">
        <v>25</v>
      </c>
      <c r="C337" s="1229" t="s">
        <v>1176</v>
      </c>
      <c r="D337" s="1223">
        <v>-1702985.73</v>
      </c>
      <c r="E337" s="1224" t="str">
        <f t="shared" si="9"/>
        <v>No</v>
      </c>
    </row>
    <row r="338" spans="1:5" ht="12.75">
      <c r="A338" s="1221"/>
      <c r="B338" s="1221">
        <v>26</v>
      </c>
      <c r="C338" s="1229" t="s">
        <v>1177</v>
      </c>
      <c r="D338" s="1223">
        <v>-5222108.42</v>
      </c>
      <c r="E338" s="1224" t="str">
        <f t="shared" si="9"/>
        <v>No</v>
      </c>
    </row>
    <row r="339" spans="1:5" ht="12.75">
      <c r="A339" s="1221"/>
      <c r="B339" s="1221">
        <v>27</v>
      </c>
      <c r="C339" s="1229" t="s">
        <v>1153</v>
      </c>
      <c r="D339" s="1223">
        <v>-12392705.58</v>
      </c>
      <c r="E339" s="1224" t="str">
        <f t="shared" si="9"/>
        <v>No</v>
      </c>
    </row>
    <row r="340" spans="1:5" ht="12.75">
      <c r="A340" s="1221"/>
      <c r="B340" s="1221">
        <v>28</v>
      </c>
      <c r="C340" s="1229" t="s">
        <v>1178</v>
      </c>
      <c r="D340" s="1223">
        <v>-3152464.83</v>
      </c>
      <c r="E340" s="1224" t="str">
        <f t="shared" si="9"/>
        <v>No</v>
      </c>
    </row>
    <row r="341" spans="1:5" ht="12.75">
      <c r="A341" s="1221"/>
      <c r="B341" s="1221">
        <v>29</v>
      </c>
      <c r="C341" s="1229" t="s">
        <v>1182</v>
      </c>
      <c r="D341" s="1223">
        <v>-329401.06</v>
      </c>
      <c r="E341" s="1224" t="str">
        <f t="shared" si="9"/>
        <v>No</v>
      </c>
    </row>
    <row r="342" spans="1:5" ht="12.75">
      <c r="A342" s="1221"/>
      <c r="B342" s="1221">
        <v>31</v>
      </c>
      <c r="C342" s="1229" t="s">
        <v>1179</v>
      </c>
      <c r="D342" s="1223">
        <v>-935224.49</v>
      </c>
      <c r="E342" s="1224" t="str">
        <f t="shared" si="9"/>
        <v>No</v>
      </c>
    </row>
    <row r="343" spans="1:5" ht="12.75">
      <c r="A343" s="1221"/>
      <c r="B343" s="1221">
        <v>33</v>
      </c>
      <c r="C343" s="1229" t="s">
        <v>1183</v>
      </c>
      <c r="D343" s="1223">
        <v>-13921</v>
      </c>
      <c r="E343" s="1224" t="str">
        <f t="shared" si="9"/>
        <v>No</v>
      </c>
    </row>
    <row r="344" spans="1:5" ht="12.75">
      <c r="A344" s="1221"/>
      <c r="B344" s="1221">
        <v>34</v>
      </c>
      <c r="C344" s="1229" t="s">
        <v>1173</v>
      </c>
      <c r="D344" s="1223">
        <v>0</v>
      </c>
      <c r="E344" s="1224" t="str">
        <f t="shared" si="9"/>
        <v>No</v>
      </c>
    </row>
    <row r="345" spans="1:5" ht="12.75">
      <c r="A345" s="1221"/>
      <c r="B345" s="1221">
        <v>39</v>
      </c>
      <c r="C345" s="1229" t="s">
        <v>1170</v>
      </c>
      <c r="D345" s="1223">
        <v>-130408.41</v>
      </c>
      <c r="E345" s="1224" t="str">
        <f t="shared" si="9"/>
        <v>No</v>
      </c>
    </row>
    <row r="346" spans="1:5" ht="12.75">
      <c r="A346" s="1221">
        <v>170000</v>
      </c>
      <c r="B346" s="1221" t="s">
        <v>972</v>
      </c>
      <c r="C346" s="1238" t="s">
        <v>9</v>
      </c>
      <c r="D346" s="1223">
        <v>0</v>
      </c>
      <c r="E346" s="1224">
        <f t="shared" si="9"/>
        <v>0</v>
      </c>
    </row>
    <row r="347" spans="1:5" ht="12.75">
      <c r="A347" s="1221">
        <v>170110</v>
      </c>
      <c r="B347" s="1221" t="s">
        <v>972</v>
      </c>
      <c r="C347" s="1222" t="s">
        <v>11</v>
      </c>
      <c r="D347" s="1223">
        <v>0</v>
      </c>
      <c r="E347" s="1224">
        <f t="shared" si="9"/>
        <v>0</v>
      </c>
    </row>
    <row r="348" spans="1:5" ht="12.75">
      <c r="A348" s="1221">
        <v>170120</v>
      </c>
      <c r="B348" s="1221" t="s">
        <v>972</v>
      </c>
      <c r="C348" s="1222" t="s">
        <v>12</v>
      </c>
      <c r="D348" s="1223">
        <v>0</v>
      </c>
      <c r="E348" s="1224">
        <f t="shared" si="9"/>
        <v>0</v>
      </c>
    </row>
    <row r="349" spans="1:5" ht="12.75">
      <c r="A349" s="1221">
        <v>170130</v>
      </c>
      <c r="B349" s="1221" t="s">
        <v>972</v>
      </c>
      <c r="C349" s="1222" t="s">
        <v>13</v>
      </c>
      <c r="D349" s="1223">
        <v>0</v>
      </c>
      <c r="E349" s="1275">
        <f>SUM(D350:D351)</f>
        <v>10769</v>
      </c>
    </row>
    <row r="350" spans="1:5" ht="12.75">
      <c r="A350" s="1221"/>
      <c r="B350" s="1221">
        <v>30</v>
      </c>
      <c r="C350" s="1229" t="s">
        <v>1071</v>
      </c>
      <c r="D350" s="1223">
        <v>5384.5</v>
      </c>
      <c r="E350" s="1273" t="str">
        <f>IF(A350&gt;0,D350,"No")</f>
        <v>No</v>
      </c>
    </row>
    <row r="351" spans="1:5" ht="12.75">
      <c r="A351" s="1221"/>
      <c r="B351" s="1221">
        <v>40</v>
      </c>
      <c r="C351" s="1229" t="s">
        <v>1072</v>
      </c>
      <c r="D351" s="1223">
        <v>5384.5</v>
      </c>
      <c r="E351" s="1273" t="str">
        <f>IF(A351&gt;0,D351,"No")</f>
        <v>No</v>
      </c>
    </row>
    <row r="352" spans="1:5" ht="12.75">
      <c r="A352" s="1221">
        <v>170140</v>
      </c>
      <c r="B352" s="1221" t="s">
        <v>972</v>
      </c>
      <c r="C352" s="1222" t="s">
        <v>14</v>
      </c>
      <c r="D352" s="1223">
        <v>0</v>
      </c>
      <c r="E352" s="1275">
        <f>SUM(D353:D354)</f>
        <v>400760.44999999995</v>
      </c>
    </row>
    <row r="353" spans="1:5" ht="12.75">
      <c r="A353" s="1221"/>
      <c r="B353" s="1221">
        <v>30</v>
      </c>
      <c r="C353" s="1229" t="s">
        <v>1071</v>
      </c>
      <c r="D353" s="1223">
        <v>287380.23</v>
      </c>
      <c r="E353" s="1273" t="str">
        <f>IF(A353&gt;0,D353,"No")</f>
        <v>No</v>
      </c>
    </row>
    <row r="354" spans="1:5" ht="12.75">
      <c r="A354" s="1221"/>
      <c r="B354" s="1221">
        <v>40</v>
      </c>
      <c r="C354" s="1229" t="s">
        <v>1072</v>
      </c>
      <c r="D354" s="1223">
        <v>113380.22</v>
      </c>
      <c r="E354" s="1273" t="str">
        <f>IF(A354&gt;0,D354,"No")</f>
        <v>No</v>
      </c>
    </row>
    <row r="355" spans="1:5" ht="12.75">
      <c r="A355" s="1221">
        <v>171110</v>
      </c>
      <c r="B355" s="1221" t="s">
        <v>972</v>
      </c>
      <c r="C355" s="1240" t="s">
        <v>975</v>
      </c>
      <c r="D355" s="1223">
        <v>0</v>
      </c>
      <c r="E355" s="1273">
        <f>IF(A355&gt;0,D355,"No")</f>
        <v>0</v>
      </c>
    </row>
    <row r="356" spans="1:5" ht="12.75">
      <c r="A356" s="1221">
        <v>171120</v>
      </c>
      <c r="B356" s="1221" t="s">
        <v>972</v>
      </c>
      <c r="C356" s="1222" t="s">
        <v>15</v>
      </c>
      <c r="D356" s="1223">
        <v>0</v>
      </c>
      <c r="E356" s="1275">
        <f>SUM(D357:D358)</f>
        <v>65796.76999999999</v>
      </c>
    </row>
    <row r="357" spans="1:5" ht="12.75">
      <c r="A357" s="1221"/>
      <c r="B357" s="1221">
        <v>30</v>
      </c>
      <c r="C357" s="1229" t="s">
        <v>1071</v>
      </c>
      <c r="D357" s="1223">
        <v>32898.35</v>
      </c>
      <c r="E357" s="1273" t="str">
        <f>IF(A357&gt;0,D357,"No")</f>
        <v>No</v>
      </c>
    </row>
    <row r="358" spans="1:5" ht="12.75">
      <c r="A358" s="1221"/>
      <c r="B358" s="1221">
        <v>40</v>
      </c>
      <c r="C358" s="1229" t="s">
        <v>1072</v>
      </c>
      <c r="D358" s="1223">
        <v>32898.42</v>
      </c>
      <c r="E358" s="1273" t="str">
        <f>IF(A358&gt;0,D358,"No")</f>
        <v>No</v>
      </c>
    </row>
    <row r="359" spans="1:5" ht="12.75">
      <c r="A359" s="1221">
        <v>172110</v>
      </c>
      <c r="B359" s="1221" t="s">
        <v>972</v>
      </c>
      <c r="C359" s="1222" t="s">
        <v>16</v>
      </c>
      <c r="D359" s="1223">
        <v>0</v>
      </c>
      <c r="E359" s="1273">
        <f>IF(A359&gt;0,D359,"No")</f>
        <v>0</v>
      </c>
    </row>
    <row r="360" spans="1:5" ht="12.75">
      <c r="A360" s="1221">
        <v>172120</v>
      </c>
      <c r="B360" s="1221" t="s">
        <v>972</v>
      </c>
      <c r="C360" s="1222" t="s">
        <v>17</v>
      </c>
      <c r="D360" s="1223">
        <v>0</v>
      </c>
      <c r="E360" s="1275">
        <f>SUM(D361:D362)</f>
        <v>0</v>
      </c>
    </row>
    <row r="361" spans="1:5" ht="12.75">
      <c r="A361" s="1221"/>
      <c r="B361" s="1221">
        <v>30</v>
      </c>
      <c r="C361" s="1229" t="s">
        <v>1071</v>
      </c>
      <c r="D361" s="1223">
        <v>0</v>
      </c>
      <c r="E361" s="1224" t="str">
        <f>IF(A361&gt;0,D361,"No")</f>
        <v>No</v>
      </c>
    </row>
    <row r="362" spans="1:5" ht="12.75">
      <c r="A362" s="1221"/>
      <c r="B362" s="1221">
        <v>40</v>
      </c>
      <c r="C362" s="1229" t="s">
        <v>1072</v>
      </c>
      <c r="D362" s="1223">
        <v>0</v>
      </c>
      <c r="E362" s="1224" t="str">
        <f>IF(A362&gt;0,D362,"No")</f>
        <v>No</v>
      </c>
    </row>
    <row r="363" spans="1:5" ht="12.75">
      <c r="A363" s="1221">
        <v>172121</v>
      </c>
      <c r="B363" s="1221"/>
      <c r="C363" s="1222" t="s">
        <v>18</v>
      </c>
      <c r="D363" s="1223">
        <v>0</v>
      </c>
      <c r="E363" s="1228">
        <f>SUM(D364:D365)</f>
        <v>5100052.22</v>
      </c>
    </row>
    <row r="364" spans="1:5" ht="12.75">
      <c r="A364" s="1221"/>
      <c r="B364" s="1221">
        <v>30</v>
      </c>
      <c r="C364" s="1229" t="s">
        <v>1071</v>
      </c>
      <c r="D364" s="1223">
        <v>5100052.22</v>
      </c>
      <c r="E364" s="1224" t="str">
        <f>IF(A364&gt;0,D364,"No")</f>
        <v>No</v>
      </c>
    </row>
    <row r="365" spans="1:5" ht="12.75">
      <c r="A365" s="1221"/>
      <c r="B365" s="1221">
        <v>40</v>
      </c>
      <c r="C365" s="1229" t="s">
        <v>1072</v>
      </c>
      <c r="D365" s="1223">
        <v>0</v>
      </c>
      <c r="E365" s="1224" t="str">
        <f>IF(A365&gt;0,D365,"No")</f>
        <v>No</v>
      </c>
    </row>
    <row r="366" spans="1:5" ht="12.75">
      <c r="A366" s="1221">
        <v>172130</v>
      </c>
      <c r="B366" s="1221" t="s">
        <v>972</v>
      </c>
      <c r="C366" s="1222" t="s">
        <v>19</v>
      </c>
      <c r="D366" s="1223">
        <v>0</v>
      </c>
      <c r="E366" s="1228">
        <f>SUM(D367:D368)</f>
        <v>18143.050000000003</v>
      </c>
    </row>
    <row r="367" spans="1:5" ht="12.75">
      <c r="A367" s="1221"/>
      <c r="B367" s="1221">
        <v>30</v>
      </c>
      <c r="C367" s="1229" t="s">
        <v>1071</v>
      </c>
      <c r="D367" s="1223">
        <v>9071.36</v>
      </c>
      <c r="E367" s="1224" t="str">
        <f>IF(A367&gt;0,D367,"No")</f>
        <v>No</v>
      </c>
    </row>
    <row r="368" spans="1:5" ht="12.75">
      <c r="A368" s="1221"/>
      <c r="B368" s="1221">
        <v>40</v>
      </c>
      <c r="C368" s="1229" t="s">
        <v>1072</v>
      </c>
      <c r="D368" s="1223">
        <v>9071.69</v>
      </c>
      <c r="E368" s="1224" t="str">
        <f>IF(A368&gt;0,D368,"No")</f>
        <v>No</v>
      </c>
    </row>
    <row r="369" spans="1:5" ht="12.75">
      <c r="A369" s="1221">
        <v>172140</v>
      </c>
      <c r="B369" s="1221" t="s">
        <v>972</v>
      </c>
      <c r="C369" s="1222" t="s">
        <v>23</v>
      </c>
      <c r="D369" s="1223">
        <v>0</v>
      </c>
      <c r="E369" s="1228">
        <f>SUM(D370:D371)</f>
        <v>268103.28</v>
      </c>
    </row>
    <row r="370" spans="1:5" ht="12.75">
      <c r="A370" s="1221"/>
      <c r="B370" s="1221">
        <v>30</v>
      </c>
      <c r="C370" s="1229" t="s">
        <v>1071</v>
      </c>
      <c r="D370" s="1223">
        <v>134050.76</v>
      </c>
      <c r="E370" s="1224" t="str">
        <f>IF(A370&gt;0,D370,"No")</f>
        <v>No</v>
      </c>
    </row>
    <row r="371" spans="1:5" ht="12.75">
      <c r="A371" s="1221"/>
      <c r="B371" s="1221">
        <v>40</v>
      </c>
      <c r="C371" s="1229" t="s">
        <v>1072</v>
      </c>
      <c r="D371" s="1223">
        <v>134052.52</v>
      </c>
      <c r="E371" s="1224" t="str">
        <f>IF(A371&gt;0,D371,"No")</f>
        <v>No</v>
      </c>
    </row>
    <row r="372" spans="1:5" ht="12.75">
      <c r="A372" s="1221">
        <v>172141</v>
      </c>
      <c r="B372" s="1221" t="s">
        <v>972</v>
      </c>
      <c r="C372" s="1222" t="s">
        <v>24</v>
      </c>
      <c r="D372" s="1223">
        <v>0</v>
      </c>
      <c r="E372" s="1224">
        <f>IF(A372&gt;0,D372,"No")</f>
        <v>0</v>
      </c>
    </row>
    <row r="373" spans="1:5" ht="12.75">
      <c r="A373" s="1221">
        <v>172150</v>
      </c>
      <c r="B373" s="1221" t="s">
        <v>972</v>
      </c>
      <c r="C373" s="1222" t="s">
        <v>844</v>
      </c>
      <c r="D373" s="1223">
        <v>0</v>
      </c>
      <c r="E373" s="1228">
        <f>SUM(D374:D375)</f>
        <v>0</v>
      </c>
    </row>
    <row r="374" spans="1:5" ht="12.75">
      <c r="A374" s="1221"/>
      <c r="B374" s="1221">
        <v>30</v>
      </c>
      <c r="C374" s="1229" t="s">
        <v>1071</v>
      </c>
      <c r="D374" s="1223">
        <v>0</v>
      </c>
      <c r="E374" s="1224" t="str">
        <f aca="true" t="shared" si="10" ref="E374:E410">IF(A374&gt;0,D374,"No")</f>
        <v>No</v>
      </c>
    </row>
    <row r="375" spans="1:5" ht="12.75">
      <c r="A375" s="1221"/>
      <c r="B375" s="1221">
        <v>40</v>
      </c>
      <c r="C375" s="1229" t="s">
        <v>1072</v>
      </c>
      <c r="D375" s="1223">
        <v>0</v>
      </c>
      <c r="E375" s="1224" t="str">
        <f t="shared" si="10"/>
        <v>No</v>
      </c>
    </row>
    <row r="376" spans="1:5" ht="12.75">
      <c r="A376" s="1221">
        <v>200000</v>
      </c>
      <c r="B376" s="1221" t="s">
        <v>972</v>
      </c>
      <c r="C376" s="1238" t="s">
        <v>25</v>
      </c>
      <c r="D376" s="1223">
        <v>0</v>
      </c>
      <c r="E376" s="1224">
        <f t="shared" si="10"/>
        <v>0</v>
      </c>
    </row>
    <row r="377" spans="1:5" ht="12.75">
      <c r="A377" s="1221">
        <v>210000</v>
      </c>
      <c r="B377" s="1221" t="s">
        <v>972</v>
      </c>
      <c r="C377" s="1238" t="s">
        <v>26</v>
      </c>
      <c r="D377" s="1223">
        <v>0</v>
      </c>
      <c r="E377" s="1224">
        <f t="shared" si="10"/>
        <v>0</v>
      </c>
    </row>
    <row r="378" spans="1:5" ht="12.75">
      <c r="A378" s="1221">
        <v>211000</v>
      </c>
      <c r="B378" s="1221" t="s">
        <v>972</v>
      </c>
      <c r="C378" s="1222" t="s">
        <v>27</v>
      </c>
      <c r="D378" s="1223">
        <v>0</v>
      </c>
      <c r="E378" s="1273">
        <f t="shared" si="10"/>
        <v>0</v>
      </c>
    </row>
    <row r="379" spans="1:5" ht="12.75">
      <c r="A379" s="1221">
        <v>211110</v>
      </c>
      <c r="B379" s="1221" t="s">
        <v>972</v>
      </c>
      <c r="C379" s="1222" t="s">
        <v>28</v>
      </c>
      <c r="D379" s="1223">
        <v>1101679.5</v>
      </c>
      <c r="E379" s="1273">
        <f t="shared" si="10"/>
        <v>1101679.5</v>
      </c>
    </row>
    <row r="380" spans="1:5" ht="12.75">
      <c r="A380" s="1221">
        <v>211120</v>
      </c>
      <c r="B380" s="1221" t="s">
        <v>972</v>
      </c>
      <c r="C380" s="1222" t="s">
        <v>29</v>
      </c>
      <c r="D380" s="1223">
        <v>0</v>
      </c>
      <c r="E380" s="1273">
        <f t="shared" si="10"/>
        <v>0</v>
      </c>
    </row>
    <row r="381" spans="1:5" ht="12.75">
      <c r="A381" s="1221">
        <v>211130</v>
      </c>
      <c r="B381" s="1221" t="s">
        <v>972</v>
      </c>
      <c r="C381" s="1222" t="s">
        <v>30</v>
      </c>
      <c r="D381" s="1223">
        <v>0</v>
      </c>
      <c r="E381" s="1273">
        <f t="shared" si="10"/>
        <v>0</v>
      </c>
    </row>
    <row r="382" spans="1:5" ht="12.75">
      <c r="A382" s="1221">
        <v>211140</v>
      </c>
      <c r="B382" s="1221" t="s">
        <v>972</v>
      </c>
      <c r="C382" s="1222" t="s">
        <v>31</v>
      </c>
      <c r="D382" s="1223">
        <v>0</v>
      </c>
      <c r="E382" s="1273">
        <f t="shared" si="10"/>
        <v>0</v>
      </c>
    </row>
    <row r="383" spans="1:5" ht="12.75">
      <c r="A383" s="1221">
        <v>211150</v>
      </c>
      <c r="B383" s="1221" t="s">
        <v>972</v>
      </c>
      <c r="C383" s="1222" t="s">
        <v>32</v>
      </c>
      <c r="D383" s="1223">
        <v>1545649.09</v>
      </c>
      <c r="E383" s="1273">
        <f t="shared" si="10"/>
        <v>1545649.09</v>
      </c>
    </row>
    <row r="384" spans="1:7" ht="12.75">
      <c r="A384" s="1221">
        <v>211160</v>
      </c>
      <c r="B384" s="1221" t="s">
        <v>972</v>
      </c>
      <c r="C384" s="1222" t="s">
        <v>1023</v>
      </c>
      <c r="D384" s="1223">
        <v>175022.87</v>
      </c>
      <c r="E384" s="1273">
        <f t="shared" si="10"/>
        <v>175022.87</v>
      </c>
      <c r="F384" s="1207">
        <f>SUM(E7:E384)</f>
        <v>966772183.7499999</v>
      </c>
      <c r="G384" s="1274">
        <f>F384-'Control BS'!D27</f>
        <v>268103.27999961376</v>
      </c>
    </row>
    <row r="385" spans="1:5" ht="12.75">
      <c r="A385" s="1221">
        <v>212000</v>
      </c>
      <c r="B385" s="1221" t="s">
        <v>972</v>
      </c>
      <c r="C385" s="1222" t="s">
        <v>33</v>
      </c>
      <c r="D385" s="1223">
        <v>0</v>
      </c>
      <c r="E385" s="1224">
        <f t="shared" si="10"/>
        <v>0</v>
      </c>
    </row>
    <row r="386" spans="1:5" ht="12.75">
      <c r="A386" s="1221">
        <v>212110</v>
      </c>
      <c r="B386" s="1221" t="s">
        <v>972</v>
      </c>
      <c r="C386" s="1222" t="s">
        <v>34</v>
      </c>
      <c r="D386" s="1223">
        <v>0</v>
      </c>
      <c r="E386" s="1224">
        <f t="shared" si="10"/>
        <v>0</v>
      </c>
    </row>
    <row r="387" spans="1:5" ht="12.75">
      <c r="A387" s="1221">
        <v>212120</v>
      </c>
      <c r="B387" s="1221" t="s">
        <v>972</v>
      </c>
      <c r="C387" s="1222" t="s">
        <v>35</v>
      </c>
      <c r="D387" s="1223">
        <v>0</v>
      </c>
      <c r="E387" s="1224">
        <f t="shared" si="10"/>
        <v>0</v>
      </c>
    </row>
    <row r="388" spans="1:5" ht="12.75">
      <c r="A388" s="1221">
        <v>212130</v>
      </c>
      <c r="B388" s="1221" t="s">
        <v>972</v>
      </c>
      <c r="C388" s="1222" t="s">
        <v>36</v>
      </c>
      <c r="D388" s="1223">
        <v>0</v>
      </c>
      <c r="E388" s="1224">
        <f t="shared" si="10"/>
        <v>0</v>
      </c>
    </row>
    <row r="389" spans="1:5" ht="12.75">
      <c r="A389" s="1221">
        <v>212140</v>
      </c>
      <c r="B389" s="1221" t="s">
        <v>972</v>
      </c>
      <c r="C389" s="1222" t="s">
        <v>37</v>
      </c>
      <c r="D389" s="1223">
        <v>0</v>
      </c>
      <c r="E389" s="1224">
        <f t="shared" si="10"/>
        <v>0</v>
      </c>
    </row>
    <row r="390" spans="1:5" ht="12.75">
      <c r="A390" s="1221">
        <v>212150</v>
      </c>
      <c r="B390" s="1221" t="s">
        <v>972</v>
      </c>
      <c r="C390" s="1222" t="s">
        <v>38</v>
      </c>
      <c r="D390" s="1223">
        <v>0</v>
      </c>
      <c r="E390" s="1224">
        <f t="shared" si="10"/>
        <v>0</v>
      </c>
    </row>
    <row r="391" spans="1:5" ht="12.75">
      <c r="A391" s="1221">
        <v>212160</v>
      </c>
      <c r="B391" s="1221" t="s">
        <v>972</v>
      </c>
      <c r="C391" s="1222" t="s">
        <v>39</v>
      </c>
      <c r="D391" s="1223">
        <v>0</v>
      </c>
      <c r="E391" s="1224">
        <f t="shared" si="10"/>
        <v>0</v>
      </c>
    </row>
    <row r="392" spans="1:5" ht="12.75">
      <c r="A392" s="1221">
        <v>212170</v>
      </c>
      <c r="B392" s="1221" t="s">
        <v>972</v>
      </c>
      <c r="C392" s="1222" t="s">
        <v>40</v>
      </c>
      <c r="D392" s="1223">
        <v>0</v>
      </c>
      <c r="E392" s="1224">
        <f t="shared" si="10"/>
        <v>0</v>
      </c>
    </row>
    <row r="393" spans="1:5" ht="12.75">
      <c r="A393" s="1221">
        <v>212180</v>
      </c>
      <c r="B393" s="1221" t="s">
        <v>972</v>
      </c>
      <c r="C393" s="1222" t="s">
        <v>41</v>
      </c>
      <c r="D393" s="1223">
        <v>0</v>
      </c>
      <c r="E393" s="1224">
        <f t="shared" si="10"/>
        <v>0</v>
      </c>
    </row>
    <row r="394" spans="1:5" ht="12.75">
      <c r="A394" s="1221">
        <v>213000</v>
      </c>
      <c r="B394" s="1221" t="s">
        <v>972</v>
      </c>
      <c r="C394" s="1222" t="s">
        <v>42</v>
      </c>
      <c r="D394" s="1223">
        <v>0</v>
      </c>
      <c r="E394" s="1224">
        <f t="shared" si="10"/>
        <v>0</v>
      </c>
    </row>
    <row r="395" spans="1:5" ht="12.75">
      <c r="A395" s="1221">
        <v>213110</v>
      </c>
      <c r="B395" s="1221" t="s">
        <v>972</v>
      </c>
      <c r="C395" s="1222" t="s">
        <v>43</v>
      </c>
      <c r="D395" s="1223">
        <v>0</v>
      </c>
      <c r="E395" s="1224">
        <f t="shared" si="10"/>
        <v>0</v>
      </c>
    </row>
    <row r="396" spans="1:5" ht="12.75">
      <c r="A396" s="1221">
        <v>214000</v>
      </c>
      <c r="B396" s="1221" t="s">
        <v>972</v>
      </c>
      <c r="C396" s="1222" t="s">
        <v>44</v>
      </c>
      <c r="D396" s="1223">
        <v>0</v>
      </c>
      <c r="E396" s="1224">
        <f t="shared" si="10"/>
        <v>0</v>
      </c>
    </row>
    <row r="397" spans="1:5" ht="12.75">
      <c r="A397" s="1221">
        <v>214110</v>
      </c>
      <c r="B397" s="1221" t="s">
        <v>972</v>
      </c>
      <c r="C397" s="1222" t="s">
        <v>45</v>
      </c>
      <c r="D397" s="1223">
        <v>0</v>
      </c>
      <c r="E397" s="1224">
        <f t="shared" si="10"/>
        <v>0</v>
      </c>
    </row>
    <row r="398" spans="1:5" ht="12.75">
      <c r="A398" s="1221">
        <v>214120</v>
      </c>
      <c r="B398" s="1221" t="s">
        <v>972</v>
      </c>
      <c r="C398" s="1222" t="s">
        <v>46</v>
      </c>
      <c r="D398" s="1223">
        <v>0</v>
      </c>
      <c r="E398" s="1224">
        <f t="shared" si="10"/>
        <v>0</v>
      </c>
    </row>
    <row r="399" spans="1:5" ht="12.75">
      <c r="A399" s="1221">
        <v>220000</v>
      </c>
      <c r="B399" s="1221" t="s">
        <v>972</v>
      </c>
      <c r="C399" s="1222" t="s">
        <v>47</v>
      </c>
      <c r="D399" s="1223">
        <v>0</v>
      </c>
      <c r="E399" s="1224">
        <f t="shared" si="10"/>
        <v>0</v>
      </c>
    </row>
    <row r="400" spans="1:5" ht="12.75">
      <c r="A400" s="1221">
        <v>220110</v>
      </c>
      <c r="B400" s="1221" t="s">
        <v>972</v>
      </c>
      <c r="C400" s="1222" t="s">
        <v>48</v>
      </c>
      <c r="D400" s="1223">
        <v>0</v>
      </c>
      <c r="E400" s="1224">
        <f t="shared" si="10"/>
        <v>0</v>
      </c>
    </row>
    <row r="401" spans="1:5" ht="12.75">
      <c r="A401" s="1221">
        <v>220120</v>
      </c>
      <c r="B401" s="1221" t="s">
        <v>972</v>
      </c>
      <c r="C401" s="1222" t="s">
        <v>49</v>
      </c>
      <c r="D401" s="1223">
        <v>0</v>
      </c>
      <c r="E401" s="1224">
        <f t="shared" si="10"/>
        <v>0</v>
      </c>
    </row>
    <row r="402" spans="1:5" ht="12.75">
      <c r="A402" s="1221">
        <v>220130</v>
      </c>
      <c r="B402" s="1221" t="s">
        <v>972</v>
      </c>
      <c r="C402" s="1222" t="s">
        <v>50</v>
      </c>
      <c r="D402" s="1223">
        <v>0</v>
      </c>
      <c r="E402" s="1224">
        <f t="shared" si="10"/>
        <v>0</v>
      </c>
    </row>
    <row r="403" spans="1:5" ht="12.75">
      <c r="A403" s="1221">
        <v>220140</v>
      </c>
      <c r="B403" s="1221" t="s">
        <v>972</v>
      </c>
      <c r="C403" s="1222" t="s">
        <v>51</v>
      </c>
      <c r="D403" s="1223">
        <v>0</v>
      </c>
      <c r="E403" s="1224">
        <f t="shared" si="10"/>
        <v>0</v>
      </c>
    </row>
    <row r="404" spans="1:5" ht="12.75">
      <c r="A404" s="1221">
        <v>220150</v>
      </c>
      <c r="B404" s="1221" t="s">
        <v>972</v>
      </c>
      <c r="C404" s="1222" t="s">
        <v>52</v>
      </c>
      <c r="D404" s="1223">
        <v>0</v>
      </c>
      <c r="E404" s="1224">
        <f t="shared" si="10"/>
        <v>0</v>
      </c>
    </row>
    <row r="405" spans="1:5" ht="12.75">
      <c r="A405" s="1221">
        <v>220160</v>
      </c>
      <c r="B405" s="1221" t="s">
        <v>972</v>
      </c>
      <c r="C405" s="1222" t="s">
        <v>53</v>
      </c>
      <c r="D405" s="1223">
        <v>0</v>
      </c>
      <c r="E405" s="1224">
        <f t="shared" si="10"/>
        <v>0</v>
      </c>
    </row>
    <row r="406" spans="1:5" ht="12.75">
      <c r="A406" s="1221">
        <v>220170</v>
      </c>
      <c r="B406" s="1221" t="s">
        <v>972</v>
      </c>
      <c r="C406" s="1222" t="s">
        <v>54</v>
      </c>
      <c r="D406" s="1223">
        <v>0</v>
      </c>
      <c r="E406" s="1224">
        <f t="shared" si="10"/>
        <v>0</v>
      </c>
    </row>
    <row r="407" spans="1:5" ht="12.75">
      <c r="A407" s="1221">
        <v>220180</v>
      </c>
      <c r="B407" s="1221" t="s">
        <v>972</v>
      </c>
      <c r="C407" s="1222" t="s">
        <v>55</v>
      </c>
      <c r="D407" s="1223">
        <v>0</v>
      </c>
      <c r="E407" s="1224">
        <f t="shared" si="10"/>
        <v>0</v>
      </c>
    </row>
    <row r="408" spans="1:5" ht="12.75">
      <c r="A408" s="1221">
        <v>220190</v>
      </c>
      <c r="B408" s="1221" t="s">
        <v>972</v>
      </c>
      <c r="C408" s="1222" t="s">
        <v>56</v>
      </c>
      <c r="D408" s="1223">
        <v>0</v>
      </c>
      <c r="E408" s="1224">
        <f t="shared" si="10"/>
        <v>0</v>
      </c>
    </row>
    <row r="409" spans="1:5" ht="12.75">
      <c r="A409" s="1221">
        <v>220200</v>
      </c>
      <c r="B409" s="1221" t="s">
        <v>972</v>
      </c>
      <c r="C409" s="1222" t="s">
        <v>57</v>
      </c>
      <c r="D409" s="1223">
        <v>0</v>
      </c>
      <c r="E409" s="1224">
        <f t="shared" si="10"/>
        <v>0</v>
      </c>
    </row>
    <row r="410" spans="1:5" ht="12.75">
      <c r="A410" s="1221">
        <v>230000</v>
      </c>
      <c r="B410" s="1221" t="s">
        <v>972</v>
      </c>
      <c r="C410" s="1222" t="s">
        <v>58</v>
      </c>
      <c r="D410" s="1223">
        <v>0</v>
      </c>
      <c r="E410" s="1224">
        <f t="shared" si="10"/>
        <v>0</v>
      </c>
    </row>
    <row r="411" spans="1:5" ht="12.75">
      <c r="A411" s="1221">
        <v>230110</v>
      </c>
      <c r="B411" s="1221" t="s">
        <v>972</v>
      </c>
      <c r="C411" s="1222" t="s">
        <v>59</v>
      </c>
      <c r="D411" s="1223">
        <v>0</v>
      </c>
      <c r="E411" s="1275">
        <f>SUM(D412:D413)</f>
        <v>-254467099.68</v>
      </c>
    </row>
    <row r="412" spans="1:5" ht="12.75">
      <c r="A412" s="1221"/>
      <c r="B412" s="1221">
        <v>30</v>
      </c>
      <c r="C412" s="1229" t="s">
        <v>1071</v>
      </c>
      <c r="D412" s="1223">
        <v>-156078816.61</v>
      </c>
      <c r="E412" s="1273" t="str">
        <f>IF(A412&gt;0,D412,"No")</f>
        <v>No</v>
      </c>
    </row>
    <row r="413" spans="1:5" ht="12.75">
      <c r="A413" s="1221"/>
      <c r="B413" s="1221">
        <v>40</v>
      </c>
      <c r="C413" s="1229" t="s">
        <v>1072</v>
      </c>
      <c r="D413" s="1223">
        <v>-98388283.07000001</v>
      </c>
      <c r="E413" s="1273" t="str">
        <f>IF(A413&gt;0,D413,"No")</f>
        <v>No</v>
      </c>
    </row>
    <row r="414" spans="1:5" ht="12.75">
      <c r="A414" s="1221">
        <v>230111</v>
      </c>
      <c r="B414" s="1221" t="s">
        <v>972</v>
      </c>
      <c r="C414" s="1222" t="s">
        <v>60</v>
      </c>
      <c r="D414" s="1223">
        <v>0</v>
      </c>
      <c r="E414" s="1273">
        <f>IF(A414&gt;0,D414,"No")</f>
        <v>0</v>
      </c>
    </row>
    <row r="415" spans="1:5" ht="12.75">
      <c r="A415" s="1221">
        <v>230120</v>
      </c>
      <c r="B415" s="1221" t="s">
        <v>972</v>
      </c>
      <c r="C415" s="1222" t="s">
        <v>61</v>
      </c>
      <c r="D415" s="1223">
        <v>0</v>
      </c>
      <c r="E415" s="1273">
        <f>IF(A415&gt;0,D415,"No")</f>
        <v>0</v>
      </c>
    </row>
    <row r="416" spans="1:5" ht="12.75">
      <c r="A416" s="1221">
        <v>230130</v>
      </c>
      <c r="B416" s="1221" t="s">
        <v>972</v>
      </c>
      <c r="C416" s="1234" t="s">
        <v>62</v>
      </c>
      <c r="D416" s="1223">
        <v>0</v>
      </c>
      <c r="E416" s="1275">
        <f>SUM(D417:D418)</f>
        <v>-15086709.27654</v>
      </c>
    </row>
    <row r="417" spans="1:5" ht="12.75">
      <c r="A417" s="1221"/>
      <c r="B417" s="1221">
        <v>30</v>
      </c>
      <c r="C417" s="1229" t="s">
        <v>1071</v>
      </c>
      <c r="D417" s="1223">
        <v>-15086709.27654</v>
      </c>
      <c r="E417" s="1273" t="str">
        <f>IF(A417&gt;0,D417,"No")</f>
        <v>No</v>
      </c>
    </row>
    <row r="418" spans="1:5" ht="12.75">
      <c r="A418" s="1221"/>
      <c r="B418" s="1221">
        <v>40</v>
      </c>
      <c r="C418" s="1229" t="s">
        <v>1072</v>
      </c>
      <c r="D418" s="1223">
        <v>0</v>
      </c>
      <c r="E418" s="1273" t="str">
        <f>IF(A418&gt;0,D418,"No")</f>
        <v>No</v>
      </c>
    </row>
    <row r="419" spans="1:5" ht="12.75">
      <c r="A419" s="1221">
        <v>230131</v>
      </c>
      <c r="B419" s="1221" t="s">
        <v>972</v>
      </c>
      <c r="C419" s="1222" t="s">
        <v>63</v>
      </c>
      <c r="D419" s="1223">
        <v>0</v>
      </c>
      <c r="E419" s="1275">
        <f>SUM(D420:D421)</f>
        <v>-8060992.4</v>
      </c>
    </row>
    <row r="420" spans="1:5" ht="12.75">
      <c r="A420" s="1221"/>
      <c r="B420" s="1221">
        <v>30</v>
      </c>
      <c r="C420" s="1229" t="s">
        <v>1071</v>
      </c>
      <c r="D420" s="1223">
        <v>-5556458.72</v>
      </c>
      <c r="E420" s="1273" t="str">
        <f>IF(A420&gt;0,D420,"No")</f>
        <v>No</v>
      </c>
    </row>
    <row r="421" spans="1:5" ht="12.75">
      <c r="A421" s="1221"/>
      <c r="B421" s="1221">
        <v>40</v>
      </c>
      <c r="C421" s="1229" t="s">
        <v>1072</v>
      </c>
      <c r="D421" s="1223">
        <v>-2504533.68</v>
      </c>
      <c r="E421" s="1273" t="str">
        <f>IF(A421&gt;0,D421,"No")</f>
        <v>No</v>
      </c>
    </row>
    <row r="422" spans="1:5" ht="12.75">
      <c r="A422" s="1221">
        <v>230132</v>
      </c>
      <c r="B422" s="1221" t="s">
        <v>972</v>
      </c>
      <c r="C422" s="1222" t="s">
        <v>64</v>
      </c>
      <c r="D422" s="1223">
        <v>0</v>
      </c>
      <c r="E422" s="1275">
        <f>SUM(D423:D425)</f>
        <v>0</v>
      </c>
    </row>
    <row r="423" spans="1:5" ht="12.75">
      <c r="A423" s="1221"/>
      <c r="B423" s="1221">
        <v>51</v>
      </c>
      <c r="C423" s="1229" t="s">
        <v>1077</v>
      </c>
      <c r="D423" s="1223">
        <v>0</v>
      </c>
      <c r="E423" s="1273" t="str">
        <f>IF(A423&gt;0,D423,"No")</f>
        <v>No</v>
      </c>
    </row>
    <row r="424" spans="1:5" ht="12.75">
      <c r="A424" s="1221"/>
      <c r="B424" s="1221">
        <v>52</v>
      </c>
      <c r="C424" s="1229" t="s">
        <v>1078</v>
      </c>
      <c r="D424" s="1223">
        <v>0</v>
      </c>
      <c r="E424" s="1273" t="str">
        <f>IF(A424&gt;0,D424,"No")</f>
        <v>No</v>
      </c>
    </row>
    <row r="425" spans="1:5" ht="12.75">
      <c r="A425" s="1221"/>
      <c r="B425" s="1225">
        <v>53</v>
      </c>
      <c r="C425" s="1241" t="s">
        <v>1079</v>
      </c>
      <c r="D425" s="1223">
        <v>0</v>
      </c>
      <c r="E425" s="1273" t="str">
        <f>IF(A425&gt;0,D425,"No")</f>
        <v>No</v>
      </c>
    </row>
    <row r="426" spans="1:5" ht="12.75">
      <c r="A426" s="1221">
        <v>230133</v>
      </c>
      <c r="B426" s="1225" t="s">
        <v>972</v>
      </c>
      <c r="C426" s="1226" t="s">
        <v>65</v>
      </c>
      <c r="D426" s="1223">
        <v>0</v>
      </c>
      <c r="E426" s="1273">
        <f>IF(A426&gt;0,D426,"No")</f>
        <v>0</v>
      </c>
    </row>
    <row r="427" spans="1:5" ht="12.75">
      <c r="A427" s="1221">
        <v>240000</v>
      </c>
      <c r="B427" s="1225" t="s">
        <v>972</v>
      </c>
      <c r="C427" s="1252" t="s">
        <v>66</v>
      </c>
      <c r="D427" s="1223">
        <v>0</v>
      </c>
      <c r="E427" s="1224">
        <f>IF(A427&gt;0,D427,"No")</f>
        <v>0</v>
      </c>
    </row>
    <row r="428" spans="1:5" ht="12.75">
      <c r="A428" s="1221">
        <v>241000</v>
      </c>
      <c r="B428" s="1221" t="s">
        <v>972</v>
      </c>
      <c r="C428" s="1222" t="s">
        <v>67</v>
      </c>
      <c r="D428" s="1223">
        <v>0</v>
      </c>
      <c r="E428" s="1275">
        <f>SUM(D429:D430)</f>
        <v>-3831646.28</v>
      </c>
    </row>
    <row r="429" spans="1:5" ht="12.75">
      <c r="A429" s="1221"/>
      <c r="B429" s="1221">
        <v>30</v>
      </c>
      <c r="C429" s="1229" t="s">
        <v>1071</v>
      </c>
      <c r="D429" s="1223">
        <v>-3790825.59</v>
      </c>
      <c r="E429" s="1273" t="str">
        <f>IF(A429&gt;0,D429,"No")</f>
        <v>No</v>
      </c>
    </row>
    <row r="430" spans="1:5" ht="12.75">
      <c r="A430" s="1221"/>
      <c r="B430" s="1221">
        <v>40</v>
      </c>
      <c r="C430" s="1229" t="s">
        <v>1072</v>
      </c>
      <c r="D430" s="1223">
        <v>-40820.69</v>
      </c>
      <c r="E430" s="1273" t="str">
        <f>IF(A430&gt;0,D430,"No")</f>
        <v>No</v>
      </c>
    </row>
    <row r="431" spans="1:5" ht="12.75">
      <c r="A431" s="1221">
        <v>241001</v>
      </c>
      <c r="B431" s="1221" t="s">
        <v>972</v>
      </c>
      <c r="C431" s="1222" t="s">
        <v>830</v>
      </c>
      <c r="D431" s="1223">
        <v>0</v>
      </c>
      <c r="E431" s="1275">
        <f>SUM(D432)</f>
        <v>-8684.22</v>
      </c>
    </row>
    <row r="432" spans="1:5" ht="12.75">
      <c r="A432" s="1221"/>
      <c r="B432" s="1221">
        <v>40</v>
      </c>
      <c r="C432" s="1229" t="s">
        <v>1072</v>
      </c>
      <c r="D432" s="1223">
        <v>-8684.22</v>
      </c>
      <c r="E432" s="1273" t="str">
        <f aca="true" t="shared" si="11" ref="E432:E439">IF(A432&gt;0,D432,"No")</f>
        <v>No</v>
      </c>
    </row>
    <row r="433" spans="1:5" ht="12.75">
      <c r="A433" s="1221">
        <v>241100</v>
      </c>
      <c r="B433" s="1221" t="s">
        <v>972</v>
      </c>
      <c r="C433" s="1222" t="s">
        <v>68</v>
      </c>
      <c r="D433" s="1223">
        <v>0</v>
      </c>
      <c r="E433" s="1273">
        <f t="shared" si="11"/>
        <v>0</v>
      </c>
    </row>
    <row r="434" spans="1:5" ht="12.75">
      <c r="A434" s="1221">
        <v>242000</v>
      </c>
      <c r="B434" s="1221" t="s">
        <v>972</v>
      </c>
      <c r="C434" s="1222" t="s">
        <v>69</v>
      </c>
      <c r="D434" s="1223">
        <v>0</v>
      </c>
      <c r="E434" s="1273">
        <f t="shared" si="11"/>
        <v>0</v>
      </c>
    </row>
    <row r="435" spans="1:5" ht="12.75">
      <c r="A435" s="1221">
        <v>242100</v>
      </c>
      <c r="B435" s="1221" t="s">
        <v>972</v>
      </c>
      <c r="C435" s="1222" t="s">
        <v>70</v>
      </c>
      <c r="D435" s="1223">
        <v>0</v>
      </c>
      <c r="E435" s="1273">
        <f t="shared" si="11"/>
        <v>0</v>
      </c>
    </row>
    <row r="436" spans="1:5" ht="12.75">
      <c r="A436" s="1221">
        <v>242110</v>
      </c>
      <c r="B436" s="1221" t="s">
        <v>972</v>
      </c>
      <c r="C436" s="1222" t="s">
        <v>71</v>
      </c>
      <c r="D436" s="1223">
        <v>-372137.23</v>
      </c>
      <c r="E436" s="1224">
        <f t="shared" si="11"/>
        <v>-372137.23</v>
      </c>
    </row>
    <row r="437" spans="1:5" ht="12.75">
      <c r="A437" s="1221">
        <v>242111</v>
      </c>
      <c r="B437" s="1221" t="s">
        <v>972</v>
      </c>
      <c r="C437" s="1222" t="s">
        <v>72</v>
      </c>
      <c r="D437" s="1223">
        <v>0</v>
      </c>
      <c r="E437" s="1224">
        <f t="shared" si="11"/>
        <v>0</v>
      </c>
    </row>
    <row r="438" spans="1:5" ht="12.75">
      <c r="A438" s="1221">
        <v>242112</v>
      </c>
      <c r="B438" s="1221" t="s">
        <v>972</v>
      </c>
      <c r="C438" s="1222" t="s">
        <v>73</v>
      </c>
      <c r="D438" s="1223">
        <v>-2231.88</v>
      </c>
      <c r="E438" s="1224">
        <f t="shared" si="11"/>
        <v>-2231.88</v>
      </c>
    </row>
    <row r="439" spans="1:5" ht="12.75">
      <c r="A439" s="1221">
        <v>242113</v>
      </c>
      <c r="B439" s="1221" t="s">
        <v>972</v>
      </c>
      <c r="C439" s="1222" t="s">
        <v>74</v>
      </c>
      <c r="D439" s="1223">
        <v>-926.1</v>
      </c>
      <c r="E439" s="1224">
        <f t="shared" si="11"/>
        <v>-926.1</v>
      </c>
    </row>
    <row r="440" spans="1:5" ht="12.75">
      <c r="A440" s="1221">
        <v>242120</v>
      </c>
      <c r="B440" s="1221" t="s">
        <v>972</v>
      </c>
      <c r="C440" s="1222" t="s">
        <v>75</v>
      </c>
      <c r="D440" s="1223">
        <v>0</v>
      </c>
      <c r="E440" s="1228">
        <f>SUM(D441:D442)</f>
        <v>-1425524.89</v>
      </c>
    </row>
    <row r="441" spans="1:5" ht="12.75">
      <c r="A441" s="1221"/>
      <c r="B441" s="1221">
        <v>30</v>
      </c>
      <c r="C441" s="1229" t="s">
        <v>1071</v>
      </c>
      <c r="D441" s="1223">
        <v>-1152117.39</v>
      </c>
      <c r="E441" s="1224" t="str">
        <f>IF(A441&gt;0,D441,"No")</f>
        <v>No</v>
      </c>
    </row>
    <row r="442" spans="1:5" ht="12.75">
      <c r="A442" s="1221"/>
      <c r="B442" s="1221">
        <v>40</v>
      </c>
      <c r="C442" s="1229" t="s">
        <v>1072</v>
      </c>
      <c r="D442" s="1223">
        <v>-273407.5</v>
      </c>
      <c r="E442" s="1224" t="str">
        <f>IF(A442&gt;0,D442,"No")</f>
        <v>No</v>
      </c>
    </row>
    <row r="443" spans="1:5" ht="12.75">
      <c r="A443" s="1221">
        <v>242130</v>
      </c>
      <c r="B443" s="1221" t="s">
        <v>972</v>
      </c>
      <c r="C443" s="1222" t="s">
        <v>76</v>
      </c>
      <c r="D443" s="1223">
        <v>0</v>
      </c>
      <c r="E443" s="1228">
        <f>SUM(D444:D445)</f>
        <v>-1895238.7400000002</v>
      </c>
    </row>
    <row r="444" spans="1:5" ht="12.75">
      <c r="A444" s="1221"/>
      <c r="B444" s="1221">
        <v>30</v>
      </c>
      <c r="C444" s="1229" t="s">
        <v>1071</v>
      </c>
      <c r="D444" s="1223">
        <v>-1135927.32</v>
      </c>
      <c r="E444" s="1224" t="str">
        <f>IF(A444&gt;0,D444,"No")</f>
        <v>No</v>
      </c>
    </row>
    <row r="445" spans="1:5" ht="12.75">
      <c r="A445" s="1221"/>
      <c r="B445" s="1221">
        <v>40</v>
      </c>
      <c r="C445" s="1229" t="s">
        <v>1072</v>
      </c>
      <c r="D445" s="1223">
        <v>-759311.42</v>
      </c>
      <c r="E445" s="1224" t="str">
        <f>IF(A445&gt;0,D445,"No")</f>
        <v>No</v>
      </c>
    </row>
    <row r="446" spans="1:5" ht="12.75">
      <c r="A446" s="1221">
        <v>242140</v>
      </c>
      <c r="B446" s="1221" t="s">
        <v>972</v>
      </c>
      <c r="C446" s="1222" t="s">
        <v>77</v>
      </c>
      <c r="D446" s="1223">
        <v>0</v>
      </c>
      <c r="E446" s="1228">
        <f>SUM(D447:D448)</f>
        <v>-3245531.56</v>
      </c>
    </row>
    <row r="447" spans="1:5" ht="12.75">
      <c r="A447" s="1221"/>
      <c r="B447" s="1221">
        <v>30</v>
      </c>
      <c r="C447" s="1229" t="s">
        <v>1071</v>
      </c>
      <c r="D447" s="1223">
        <v>-1483010.32</v>
      </c>
      <c r="E447" s="1224" t="str">
        <f>IF(A447&gt;0,D447,"No")</f>
        <v>No</v>
      </c>
    </row>
    <row r="448" spans="1:5" ht="12.75">
      <c r="A448" s="1221"/>
      <c r="B448" s="1221">
        <v>40</v>
      </c>
      <c r="C448" s="1229" t="s">
        <v>1072</v>
      </c>
      <c r="D448" s="1223">
        <v>-1762521.24</v>
      </c>
      <c r="E448" s="1224" t="str">
        <f>IF(A448&gt;0,D448,"No")</f>
        <v>No</v>
      </c>
    </row>
    <row r="449" spans="1:5" ht="12.75">
      <c r="A449" s="1221">
        <v>242150</v>
      </c>
      <c r="B449" s="1221" t="s">
        <v>972</v>
      </c>
      <c r="C449" s="1222" t="s">
        <v>78</v>
      </c>
      <c r="D449" s="1223">
        <v>0</v>
      </c>
      <c r="E449" s="1228">
        <f>SUM(D450:D451)</f>
        <v>-6867.04</v>
      </c>
    </row>
    <row r="450" spans="1:5" ht="12.75">
      <c r="A450" s="1221"/>
      <c r="B450" s="1221">
        <v>30</v>
      </c>
      <c r="C450" s="1229" t="s">
        <v>1071</v>
      </c>
      <c r="D450" s="1223">
        <v>-3433.52</v>
      </c>
      <c r="E450" s="1224" t="str">
        <f>IF(A450&gt;0,D450,"No")</f>
        <v>No</v>
      </c>
    </row>
    <row r="451" spans="1:5" ht="12.75">
      <c r="A451" s="1221"/>
      <c r="B451" s="1221">
        <v>40</v>
      </c>
      <c r="C451" s="1229" t="s">
        <v>1072</v>
      </c>
      <c r="D451" s="1223">
        <v>-3433.52</v>
      </c>
      <c r="E451" s="1224" t="str">
        <f>IF(A451&gt;0,D451,"No")</f>
        <v>No</v>
      </c>
    </row>
    <row r="452" spans="1:5" ht="12.75">
      <c r="A452" s="1221">
        <v>242160</v>
      </c>
      <c r="B452" s="1221" t="s">
        <v>972</v>
      </c>
      <c r="C452" s="1222" t="s">
        <v>79</v>
      </c>
      <c r="D452" s="1223">
        <v>0</v>
      </c>
      <c r="E452" s="1228">
        <f>SUM(D453:D454)</f>
        <v>0</v>
      </c>
    </row>
    <row r="453" spans="1:5" ht="12.75">
      <c r="A453" s="1221"/>
      <c r="B453" s="1221">
        <v>30</v>
      </c>
      <c r="C453" s="1229" t="s">
        <v>1071</v>
      </c>
      <c r="D453" s="1223">
        <v>0</v>
      </c>
      <c r="E453" s="1224" t="str">
        <f>IF(A453&gt;0,D453,"No")</f>
        <v>No</v>
      </c>
    </row>
    <row r="454" spans="1:5" ht="12.75">
      <c r="A454" s="1221"/>
      <c r="B454" s="1221">
        <v>40</v>
      </c>
      <c r="C454" s="1229" t="s">
        <v>1072</v>
      </c>
      <c r="D454" s="1223">
        <v>0</v>
      </c>
      <c r="E454" s="1224" t="str">
        <f>IF(A454&gt;0,D454,"No")</f>
        <v>No</v>
      </c>
    </row>
    <row r="455" spans="1:5" ht="12.75">
      <c r="A455" s="1221">
        <v>242170</v>
      </c>
      <c r="B455" s="1221" t="s">
        <v>972</v>
      </c>
      <c r="C455" s="1222" t="s">
        <v>80</v>
      </c>
      <c r="D455" s="1223">
        <v>0</v>
      </c>
      <c r="E455" s="1228">
        <f>SUM(D456:D457)</f>
        <v>-332037.69999999995</v>
      </c>
    </row>
    <row r="456" spans="1:5" ht="12.75">
      <c r="A456" s="1221"/>
      <c r="B456" s="1221">
        <v>30</v>
      </c>
      <c r="C456" s="1229" t="s">
        <v>1071</v>
      </c>
      <c r="D456" s="1223">
        <v>-166018.86</v>
      </c>
      <c r="E456" s="1224" t="str">
        <f>IF(A456&gt;0,D456,"No")</f>
        <v>No</v>
      </c>
    </row>
    <row r="457" spans="1:5" ht="12.75">
      <c r="A457" s="1221"/>
      <c r="B457" s="1221">
        <v>40</v>
      </c>
      <c r="C457" s="1229" t="s">
        <v>1072</v>
      </c>
      <c r="D457" s="1223">
        <v>-166018.84</v>
      </c>
      <c r="E457" s="1224" t="str">
        <f>IF(A457&gt;0,D457,"No")</f>
        <v>No</v>
      </c>
    </row>
    <row r="458" spans="1:5" ht="12.75">
      <c r="A458" s="1221">
        <v>242180</v>
      </c>
      <c r="B458" s="1221" t="s">
        <v>972</v>
      </c>
      <c r="C458" s="1222" t="s">
        <v>81</v>
      </c>
      <c r="D458" s="1223">
        <v>0</v>
      </c>
      <c r="E458" s="1228">
        <f>SUM(D459:D460)</f>
        <v>-324222</v>
      </c>
    </row>
    <row r="459" spans="1:5" ht="12.75">
      <c r="A459" s="1221"/>
      <c r="B459" s="1221">
        <v>30</v>
      </c>
      <c r="C459" s="1229" t="s">
        <v>1071</v>
      </c>
      <c r="D459" s="1223">
        <v>-218053</v>
      </c>
      <c r="E459" s="1224" t="str">
        <f>IF(A459&gt;0,D459,"No")</f>
        <v>No</v>
      </c>
    </row>
    <row r="460" spans="1:5" ht="12.75">
      <c r="A460" s="1221"/>
      <c r="B460" s="1221">
        <v>40</v>
      </c>
      <c r="C460" s="1229" t="s">
        <v>1072</v>
      </c>
      <c r="D460" s="1223">
        <v>-106169</v>
      </c>
      <c r="E460" s="1224" t="str">
        <f>IF(A460&gt;0,D460,"No")</f>
        <v>No</v>
      </c>
    </row>
    <row r="461" spans="1:5" ht="12.75">
      <c r="A461" s="1221">
        <v>242181</v>
      </c>
      <c r="B461" s="1221" t="s">
        <v>972</v>
      </c>
      <c r="C461" s="1222" t="s">
        <v>82</v>
      </c>
      <c r="D461" s="1223">
        <v>0</v>
      </c>
      <c r="E461" s="1228">
        <f>SUM(D462:D463)</f>
        <v>0</v>
      </c>
    </row>
    <row r="462" spans="1:5" ht="12.75">
      <c r="A462" s="1221"/>
      <c r="B462" s="1221">
        <v>30</v>
      </c>
      <c r="C462" s="1229" t="s">
        <v>1071</v>
      </c>
      <c r="D462" s="1223">
        <v>0</v>
      </c>
      <c r="E462" s="1224" t="str">
        <f>IF(A462&gt;0,D462,"No")</f>
        <v>No</v>
      </c>
    </row>
    <row r="463" spans="1:5" ht="12.75">
      <c r="A463" s="1221"/>
      <c r="B463" s="1221">
        <v>40</v>
      </c>
      <c r="C463" s="1229" t="s">
        <v>1072</v>
      </c>
      <c r="D463" s="1223">
        <v>0</v>
      </c>
      <c r="E463" s="1224" t="str">
        <f>IF(A463&gt;0,D463,"No")</f>
        <v>No</v>
      </c>
    </row>
    <row r="464" spans="1:5" ht="12.75">
      <c r="A464" s="1221">
        <v>242182</v>
      </c>
      <c r="B464" s="1221" t="s">
        <v>972</v>
      </c>
      <c r="C464" s="1222" t="s">
        <v>845</v>
      </c>
      <c r="D464" s="1223">
        <v>0</v>
      </c>
      <c r="E464" s="1228">
        <f>SUM(D465:D466)</f>
        <v>-917982.19</v>
      </c>
    </row>
    <row r="465" spans="1:5" ht="12.75">
      <c r="A465" s="1221"/>
      <c r="B465" s="1221">
        <v>30</v>
      </c>
      <c r="C465" s="1229" t="s">
        <v>1071</v>
      </c>
      <c r="D465" s="1223">
        <v>-458991.11</v>
      </c>
      <c r="E465" s="1224" t="str">
        <f>IF(A465&gt;0,D465,"No")</f>
        <v>No</v>
      </c>
    </row>
    <row r="466" spans="1:5" ht="12.75">
      <c r="A466" s="1221"/>
      <c r="B466" s="1221">
        <v>40</v>
      </c>
      <c r="C466" s="1229" t="s">
        <v>1072</v>
      </c>
      <c r="D466" s="1223">
        <v>-458991.08</v>
      </c>
      <c r="E466" s="1224" t="str">
        <f>IF(A466&gt;0,D466,"No")</f>
        <v>No</v>
      </c>
    </row>
    <row r="467" spans="1:5" ht="12.75">
      <c r="A467" s="1221">
        <v>242190</v>
      </c>
      <c r="B467" s="1221" t="s">
        <v>972</v>
      </c>
      <c r="C467" s="1222" t="s">
        <v>83</v>
      </c>
      <c r="D467" s="1223">
        <v>0</v>
      </c>
      <c r="E467" s="1228">
        <f>SUM(D468:D469)</f>
        <v>-4201879.16</v>
      </c>
    </row>
    <row r="468" spans="1:5" ht="12.75">
      <c r="A468" s="1221"/>
      <c r="B468" s="1221">
        <v>30</v>
      </c>
      <c r="C468" s="1229" t="s">
        <v>1071</v>
      </c>
      <c r="D468" s="1223">
        <v>-2087441.82</v>
      </c>
      <c r="E468" s="1224" t="str">
        <f>IF(A468&gt;0,D468,"No")</f>
        <v>No</v>
      </c>
    </row>
    <row r="469" spans="1:5" ht="12.75">
      <c r="A469" s="1221"/>
      <c r="B469" s="1221">
        <v>40</v>
      </c>
      <c r="C469" s="1229" t="s">
        <v>1072</v>
      </c>
      <c r="D469" s="1223">
        <v>-2114437.34</v>
      </c>
      <c r="E469" s="1224" t="str">
        <f>IF(A469&gt;0,D469,"No")</f>
        <v>No</v>
      </c>
    </row>
    <row r="470" spans="1:5" ht="12.75">
      <c r="A470" s="1221">
        <v>242191</v>
      </c>
      <c r="B470" s="1221" t="s">
        <v>972</v>
      </c>
      <c r="C470" s="1222" t="s">
        <v>84</v>
      </c>
      <c r="D470" s="1223">
        <v>0</v>
      </c>
      <c r="E470" s="1228">
        <f>SUM(D471:D473)</f>
        <v>0</v>
      </c>
    </row>
    <row r="471" spans="1:5" ht="12.75">
      <c r="A471" s="1221"/>
      <c r="B471" s="1221">
        <v>51</v>
      </c>
      <c r="C471" s="1229" t="s">
        <v>1077</v>
      </c>
      <c r="D471" s="1223">
        <v>0</v>
      </c>
      <c r="E471" s="1224" t="str">
        <f aca="true" t="shared" si="12" ref="E471:E476">IF(A471&gt;0,D471,"No")</f>
        <v>No</v>
      </c>
    </row>
    <row r="472" spans="1:5" ht="12.75">
      <c r="A472" s="1221"/>
      <c r="B472" s="1221">
        <v>52</v>
      </c>
      <c r="C472" s="1229" t="s">
        <v>1078</v>
      </c>
      <c r="D472" s="1223">
        <v>0</v>
      </c>
      <c r="E472" s="1224" t="str">
        <f t="shared" si="12"/>
        <v>No</v>
      </c>
    </row>
    <row r="473" spans="1:5" ht="12.75">
      <c r="A473" s="1221"/>
      <c r="B473" s="1221">
        <v>53</v>
      </c>
      <c r="C473" s="1229" t="s">
        <v>1079</v>
      </c>
      <c r="D473" s="1223">
        <v>0</v>
      </c>
      <c r="E473" s="1224" t="str">
        <f t="shared" si="12"/>
        <v>No</v>
      </c>
    </row>
    <row r="474" spans="1:5" ht="12.75">
      <c r="A474" s="1225">
        <v>242200</v>
      </c>
      <c r="B474" s="1225" t="s">
        <v>972</v>
      </c>
      <c r="C474" s="1226" t="s">
        <v>85</v>
      </c>
      <c r="D474" s="1227">
        <v>0</v>
      </c>
      <c r="E474" s="1224">
        <f t="shared" si="12"/>
        <v>0</v>
      </c>
    </row>
    <row r="475" spans="1:5" ht="12.75">
      <c r="A475" s="1225">
        <v>242201</v>
      </c>
      <c r="B475" s="1225" t="s">
        <v>972</v>
      </c>
      <c r="C475" s="1226" t="s">
        <v>86</v>
      </c>
      <c r="D475" s="1227">
        <v>0</v>
      </c>
      <c r="E475" s="1224">
        <f t="shared" si="12"/>
        <v>0</v>
      </c>
    </row>
    <row r="476" spans="1:5" ht="12.75">
      <c r="A476" s="1230">
        <v>242202</v>
      </c>
      <c r="B476" s="1230" t="s">
        <v>972</v>
      </c>
      <c r="C476" s="1231" t="s">
        <v>87</v>
      </c>
      <c r="D476" s="1232">
        <v>-15019098.576227197</v>
      </c>
      <c r="E476" s="1273">
        <f t="shared" si="12"/>
        <v>-15019098.576227197</v>
      </c>
    </row>
    <row r="477" spans="1:5" ht="12.75">
      <c r="A477" s="1225">
        <v>242203</v>
      </c>
      <c r="B477" s="1225" t="s">
        <v>972</v>
      </c>
      <c r="C477" s="1226" t="s">
        <v>98</v>
      </c>
      <c r="D477" s="1227">
        <v>0</v>
      </c>
      <c r="E477" s="1228">
        <f>SUM(D478:D479)</f>
        <v>-349054.11</v>
      </c>
    </row>
    <row r="478" spans="1:5" ht="12.75">
      <c r="A478" s="1225"/>
      <c r="B478" s="1225">
        <v>30</v>
      </c>
      <c r="C478" s="1241" t="s">
        <v>1071</v>
      </c>
      <c r="D478" s="1227">
        <v>-203894.96</v>
      </c>
      <c r="E478" s="1224" t="str">
        <f>IF(A478&gt;0,D478,"No")</f>
        <v>No</v>
      </c>
    </row>
    <row r="479" spans="1:5" ht="12.75">
      <c r="A479" s="1221"/>
      <c r="B479" s="1221">
        <v>40</v>
      </c>
      <c r="C479" s="1229" t="s">
        <v>1072</v>
      </c>
      <c r="D479" s="1223">
        <v>-145159.15</v>
      </c>
      <c r="E479" s="1224" t="str">
        <f>IF(A479&gt;0,D479,"No")</f>
        <v>No</v>
      </c>
    </row>
    <row r="480" spans="1:5" ht="12.75">
      <c r="A480" s="1221">
        <v>242204</v>
      </c>
      <c r="B480" s="1221" t="s">
        <v>972</v>
      </c>
      <c r="C480" s="1222" t="s">
        <v>99</v>
      </c>
      <c r="D480" s="1223">
        <v>0</v>
      </c>
      <c r="E480" s="1228">
        <f>SUM(D481:D482)</f>
        <v>-3019115.56</v>
      </c>
    </row>
    <row r="481" spans="1:5" ht="12.75">
      <c r="A481" s="1221"/>
      <c r="B481" s="1221">
        <v>30</v>
      </c>
      <c r="C481" s="1229" t="s">
        <v>1071</v>
      </c>
      <c r="D481" s="1223">
        <v>-3016771.07</v>
      </c>
      <c r="E481" s="1224" t="str">
        <f>IF(A481&gt;0,D481,"No")</f>
        <v>No</v>
      </c>
    </row>
    <row r="482" spans="1:5" ht="12.75">
      <c r="A482" s="1221"/>
      <c r="B482" s="1221">
        <v>40</v>
      </c>
      <c r="C482" s="1229" t="s">
        <v>1072</v>
      </c>
      <c r="D482" s="1223">
        <v>-2344.49</v>
      </c>
      <c r="E482" s="1224" t="str">
        <f>IF(A482&gt;0,D482,"No")</f>
        <v>No</v>
      </c>
    </row>
    <row r="483" spans="1:5" ht="12.75">
      <c r="A483" s="1221">
        <v>242205</v>
      </c>
      <c r="B483" s="1221" t="s">
        <v>972</v>
      </c>
      <c r="C483" s="1222" t="s">
        <v>104</v>
      </c>
      <c r="D483" s="1223">
        <v>0</v>
      </c>
      <c r="E483" s="1228">
        <f>SUM(D484)</f>
        <v>-4234179.93</v>
      </c>
    </row>
    <row r="484" spans="1:5" ht="12.75">
      <c r="A484" s="1221"/>
      <c r="B484" s="1221">
        <v>30</v>
      </c>
      <c r="C484" s="1229" t="s">
        <v>1071</v>
      </c>
      <c r="D484" s="1223">
        <v>-4234179.93</v>
      </c>
      <c r="E484" s="1224" t="str">
        <f>IF(A484&gt;0,D484,"No")</f>
        <v>No</v>
      </c>
    </row>
    <row r="485" spans="1:5" ht="12.75">
      <c r="A485" s="1221">
        <v>242300</v>
      </c>
      <c r="B485" s="1221" t="s">
        <v>972</v>
      </c>
      <c r="C485" s="1222" t="s">
        <v>105</v>
      </c>
      <c r="D485" s="1223">
        <v>0</v>
      </c>
      <c r="E485" s="1224">
        <f>IF(A485&gt;0,D485,"No")</f>
        <v>0</v>
      </c>
    </row>
    <row r="486" spans="1:5" ht="12.75">
      <c r="A486" s="1221">
        <v>242301</v>
      </c>
      <c r="B486" s="1221" t="s">
        <v>972</v>
      </c>
      <c r="C486" s="1222" t="s">
        <v>106</v>
      </c>
      <c r="D486" s="1223">
        <v>0</v>
      </c>
      <c r="E486" s="1228">
        <f>SUM(D487:D488)</f>
        <v>-317710.95</v>
      </c>
    </row>
    <row r="487" spans="1:5" ht="12.75">
      <c r="A487" s="1221"/>
      <c r="B487" s="1221">
        <v>30</v>
      </c>
      <c r="C487" s="1229" t="s">
        <v>1071</v>
      </c>
      <c r="D487" s="1223">
        <v>-232354.84</v>
      </c>
      <c r="E487" s="1224" t="str">
        <f>IF(A487&gt;0,D487,"No")</f>
        <v>No</v>
      </c>
    </row>
    <row r="488" spans="1:5" ht="12.75">
      <c r="A488" s="1221"/>
      <c r="B488" s="1221">
        <v>40</v>
      </c>
      <c r="C488" s="1229" t="s">
        <v>1072</v>
      </c>
      <c r="D488" s="1223">
        <v>-85356.11</v>
      </c>
      <c r="E488" s="1224" t="str">
        <f>IF(A488&gt;0,D488,"No")</f>
        <v>No</v>
      </c>
    </row>
    <row r="489" spans="1:5" ht="12.75">
      <c r="A489" s="1221">
        <v>242302</v>
      </c>
      <c r="B489" s="1221" t="s">
        <v>972</v>
      </c>
      <c r="C489" s="1222" t="s">
        <v>20</v>
      </c>
      <c r="D489" s="1223">
        <v>0</v>
      </c>
      <c r="E489" s="1228">
        <f>SUM(D490:D491)</f>
        <v>-5603821.4799999995</v>
      </c>
    </row>
    <row r="490" spans="1:5" ht="12.75">
      <c r="A490" s="1221"/>
      <c r="B490" s="1221">
        <v>30</v>
      </c>
      <c r="C490" s="1229" t="s">
        <v>1071</v>
      </c>
      <c r="D490" s="1223">
        <v>-5024214.84</v>
      </c>
      <c r="E490" s="1224" t="str">
        <f>IF(A490&gt;0,D490,"No")</f>
        <v>No</v>
      </c>
    </row>
    <row r="491" spans="1:5" ht="12.75">
      <c r="A491" s="1221"/>
      <c r="B491" s="1221">
        <v>40</v>
      </c>
      <c r="C491" s="1229" t="s">
        <v>1072</v>
      </c>
      <c r="D491" s="1223">
        <v>-579606.64</v>
      </c>
      <c r="E491" s="1224" t="str">
        <f>IF(A491&gt;0,D491,"No")</f>
        <v>No</v>
      </c>
    </row>
    <row r="492" spans="1:5" ht="12.75">
      <c r="A492" s="1221">
        <v>242303</v>
      </c>
      <c r="B492" s="1221" t="s">
        <v>972</v>
      </c>
      <c r="C492" s="1222" t="s">
        <v>107</v>
      </c>
      <c r="D492" s="1223">
        <v>0</v>
      </c>
      <c r="E492" s="1224">
        <f>IF(A492&gt;0,D492,"No")</f>
        <v>0</v>
      </c>
    </row>
    <row r="493" spans="1:5" ht="12.75">
      <c r="A493" s="1221">
        <v>242304</v>
      </c>
      <c r="B493" s="1221" t="s">
        <v>972</v>
      </c>
      <c r="C493" s="1222" t="s">
        <v>108</v>
      </c>
      <c r="D493" s="1223">
        <v>0</v>
      </c>
      <c r="E493" s="1228">
        <f>SUM(D494:D495)</f>
        <v>-213812.7</v>
      </c>
    </row>
    <row r="494" spans="1:5" ht="12.75">
      <c r="A494" s="1221"/>
      <c r="B494" s="1221">
        <v>30</v>
      </c>
      <c r="C494" s="1229" t="s">
        <v>1071</v>
      </c>
      <c r="D494" s="1223">
        <v>-106906.67</v>
      </c>
      <c r="E494" s="1224" t="str">
        <f aca="true" t="shared" si="13" ref="E494:E501">IF(A494&gt;0,D494,"No")</f>
        <v>No</v>
      </c>
    </row>
    <row r="495" spans="1:5" ht="12.75">
      <c r="A495" s="1221"/>
      <c r="B495" s="1221">
        <v>40</v>
      </c>
      <c r="C495" s="1229" t="s">
        <v>1072</v>
      </c>
      <c r="D495" s="1223">
        <v>-106906.03</v>
      </c>
      <c r="E495" s="1224" t="str">
        <f t="shared" si="13"/>
        <v>No</v>
      </c>
    </row>
    <row r="496" spans="1:5" ht="12.75">
      <c r="A496" s="1221">
        <v>243000</v>
      </c>
      <c r="B496" s="1221" t="s">
        <v>972</v>
      </c>
      <c r="C496" s="1222" t="s">
        <v>109</v>
      </c>
      <c r="D496" s="1223">
        <v>0</v>
      </c>
      <c r="E496" s="1224">
        <f t="shared" si="13"/>
        <v>0</v>
      </c>
    </row>
    <row r="497" spans="1:5" ht="12.75">
      <c r="A497" s="1221">
        <v>243110</v>
      </c>
      <c r="B497" s="1221" t="s">
        <v>972</v>
      </c>
      <c r="C497" s="1222" t="s">
        <v>110</v>
      </c>
      <c r="D497" s="1223">
        <v>0</v>
      </c>
      <c r="E497" s="1224">
        <f t="shared" si="13"/>
        <v>0</v>
      </c>
    </row>
    <row r="498" spans="1:5" ht="12.75">
      <c r="A498" s="1221">
        <v>243120</v>
      </c>
      <c r="B498" s="1221" t="s">
        <v>972</v>
      </c>
      <c r="C498" s="1222" t="s">
        <v>111</v>
      </c>
      <c r="D498" s="1223">
        <v>0</v>
      </c>
      <c r="E498" s="1224">
        <f t="shared" si="13"/>
        <v>0</v>
      </c>
    </row>
    <row r="499" spans="1:5" ht="12.75">
      <c r="A499" s="1221">
        <v>243130</v>
      </c>
      <c r="B499" s="1221" t="s">
        <v>972</v>
      </c>
      <c r="C499" s="1222" t="s">
        <v>112</v>
      </c>
      <c r="D499" s="1223">
        <v>0</v>
      </c>
      <c r="E499" s="1224">
        <f t="shared" si="13"/>
        <v>0</v>
      </c>
    </row>
    <row r="500" spans="1:5" ht="12.75">
      <c r="A500" s="1221">
        <v>243140</v>
      </c>
      <c r="B500" s="1221" t="s">
        <v>972</v>
      </c>
      <c r="C500" s="1222" t="s">
        <v>113</v>
      </c>
      <c r="D500" s="1223">
        <v>0</v>
      </c>
      <c r="E500" s="1224">
        <f t="shared" si="13"/>
        <v>0</v>
      </c>
    </row>
    <row r="501" spans="1:5" ht="12.75">
      <c r="A501" s="1221">
        <v>243150</v>
      </c>
      <c r="B501" s="1221" t="s">
        <v>972</v>
      </c>
      <c r="C501" s="1222" t="s">
        <v>114</v>
      </c>
      <c r="D501" s="1223">
        <v>0</v>
      </c>
      <c r="E501" s="1224">
        <f t="shared" si="13"/>
        <v>0</v>
      </c>
    </row>
    <row r="502" spans="1:5" ht="12.75">
      <c r="A502" s="1221">
        <v>245000</v>
      </c>
      <c r="B502" s="1221" t="s">
        <v>972</v>
      </c>
      <c r="C502" s="1222" t="s">
        <v>115</v>
      </c>
      <c r="D502" s="1223">
        <v>0</v>
      </c>
      <c r="E502" s="1228">
        <f>SUM(D503:D504)</f>
        <v>-9601340.959999999</v>
      </c>
    </row>
    <row r="503" spans="1:5" ht="12.75">
      <c r="A503" s="1221"/>
      <c r="B503" s="1221">
        <v>30</v>
      </c>
      <c r="C503" s="1229" t="s">
        <v>1071</v>
      </c>
      <c r="D503" s="1223">
        <v>-7868510.51</v>
      </c>
      <c r="E503" s="1224" t="str">
        <f>IF(A503&gt;0,D503,"No")</f>
        <v>No</v>
      </c>
    </row>
    <row r="504" spans="1:5" ht="12.75">
      <c r="A504" s="1221"/>
      <c r="B504" s="1221">
        <v>40</v>
      </c>
      <c r="C504" s="1229" t="s">
        <v>1072</v>
      </c>
      <c r="D504" s="1223">
        <v>-1732830.45</v>
      </c>
      <c r="E504" s="1224" t="str">
        <f>IF(A504&gt;0,D504,"No")</f>
        <v>No</v>
      </c>
    </row>
    <row r="505" spans="1:5" ht="12.75">
      <c r="A505" s="1221">
        <v>245100</v>
      </c>
      <c r="B505" s="1221" t="s">
        <v>972</v>
      </c>
      <c r="C505" s="1222" t="s">
        <v>116</v>
      </c>
      <c r="D505" s="1223">
        <v>0</v>
      </c>
      <c r="E505" s="1224">
        <f>IF(A505&gt;0,D505,"No")</f>
        <v>0</v>
      </c>
    </row>
    <row r="506" spans="1:5" ht="12.75">
      <c r="A506" s="1221">
        <v>245101</v>
      </c>
      <c r="B506" s="1221" t="s">
        <v>972</v>
      </c>
      <c r="C506" s="1222" t="s">
        <v>117</v>
      </c>
      <c r="D506" s="1223">
        <v>0</v>
      </c>
      <c r="E506" s="1228">
        <f>SUM(D507:D508)</f>
        <v>-120546.49</v>
      </c>
    </row>
    <row r="507" spans="1:5" ht="12.75">
      <c r="A507" s="1221"/>
      <c r="B507" s="1221">
        <v>30</v>
      </c>
      <c r="C507" s="1229" t="s">
        <v>1071</v>
      </c>
      <c r="D507" s="1227">
        <v>-120546.49</v>
      </c>
      <c r="E507" s="1224" t="str">
        <f>IF(A507&gt;0,D507,"No")</f>
        <v>No</v>
      </c>
    </row>
    <row r="508" spans="1:5" ht="12.75">
      <c r="A508" s="1221"/>
      <c r="B508" s="1221">
        <v>40</v>
      </c>
      <c r="C508" s="1229" t="s">
        <v>1072</v>
      </c>
      <c r="D508" s="1227">
        <v>0</v>
      </c>
      <c r="E508" s="1224" t="str">
        <f>IF(A508&gt;0,D508,"No")</f>
        <v>No</v>
      </c>
    </row>
    <row r="509" spans="1:5" ht="12.75">
      <c r="A509" s="1221">
        <v>245102</v>
      </c>
      <c r="B509" s="1221" t="s">
        <v>972</v>
      </c>
      <c r="C509" s="1222" t="s">
        <v>118</v>
      </c>
      <c r="D509" s="1223">
        <v>0</v>
      </c>
      <c r="E509" s="1228">
        <f>SUM(D510:D511)</f>
        <v>0</v>
      </c>
    </row>
    <row r="510" spans="1:5" ht="12.75">
      <c r="A510" s="1221"/>
      <c r="B510" s="1221">
        <v>30</v>
      </c>
      <c r="C510" s="1229" t="s">
        <v>1071</v>
      </c>
      <c r="D510" s="1223">
        <v>0</v>
      </c>
      <c r="E510" s="1224" t="str">
        <f>IF(A510&gt;0,D510,"No")</f>
        <v>No</v>
      </c>
    </row>
    <row r="511" spans="1:5" ht="12.75">
      <c r="A511" s="1221"/>
      <c r="B511" s="1221">
        <v>40</v>
      </c>
      <c r="C511" s="1229" t="s">
        <v>1072</v>
      </c>
      <c r="D511" s="1223">
        <v>0</v>
      </c>
      <c r="E511" s="1224" t="str">
        <f>IF(A511&gt;0,D511,"No")</f>
        <v>No</v>
      </c>
    </row>
    <row r="512" spans="1:5" ht="12.75">
      <c r="A512" s="1221">
        <v>245103</v>
      </c>
      <c r="B512" s="1221" t="s">
        <v>972</v>
      </c>
      <c r="C512" s="1222" t="s">
        <v>119</v>
      </c>
      <c r="D512" s="1223">
        <v>0</v>
      </c>
      <c r="E512" s="1228">
        <f>SUM(D513:D514)</f>
        <v>-132978.89</v>
      </c>
    </row>
    <row r="513" spans="1:5" ht="12.75">
      <c r="A513" s="1221"/>
      <c r="B513" s="1221">
        <v>30</v>
      </c>
      <c r="C513" s="1229" t="s">
        <v>1071</v>
      </c>
      <c r="D513" s="1223">
        <v>-66489.45</v>
      </c>
      <c r="E513" s="1224" t="str">
        <f>IF(A513&gt;0,D513,"No")</f>
        <v>No</v>
      </c>
    </row>
    <row r="514" spans="1:5" ht="12.75">
      <c r="A514" s="1221"/>
      <c r="B514" s="1221">
        <v>40</v>
      </c>
      <c r="C514" s="1229" t="s">
        <v>1072</v>
      </c>
      <c r="D514" s="1223">
        <v>-66489.44</v>
      </c>
      <c r="E514" s="1224" t="str">
        <f>IF(A514&gt;0,D514,"No")</f>
        <v>No</v>
      </c>
    </row>
    <row r="515" spans="1:5" ht="12.75">
      <c r="A515" s="1221">
        <v>245104</v>
      </c>
      <c r="B515" s="1221" t="s">
        <v>972</v>
      </c>
      <c r="C515" s="1222" t="s">
        <v>120</v>
      </c>
      <c r="D515" s="1223">
        <v>0</v>
      </c>
      <c r="E515" s="1228">
        <f>SUM(D516)</f>
        <v>0</v>
      </c>
    </row>
    <row r="516" spans="1:5" ht="12.75">
      <c r="A516" s="1221"/>
      <c r="B516" s="1221">
        <v>51</v>
      </c>
      <c r="C516" s="1229" t="s">
        <v>1077</v>
      </c>
      <c r="D516" s="1223">
        <v>0</v>
      </c>
      <c r="E516" s="1224" t="str">
        <f aca="true" t="shared" si="14" ref="E516:E522">IF(A516&gt;0,D516,"No")</f>
        <v>No</v>
      </c>
    </row>
    <row r="517" spans="1:5" ht="12.75">
      <c r="A517" s="1221">
        <v>245105</v>
      </c>
      <c r="B517" s="1221" t="s">
        <v>972</v>
      </c>
      <c r="C517" s="1240" t="s">
        <v>975</v>
      </c>
      <c r="D517" s="1223">
        <v>0</v>
      </c>
      <c r="E517" s="1224">
        <f t="shared" si="14"/>
        <v>0</v>
      </c>
    </row>
    <row r="518" spans="1:5" ht="12.75">
      <c r="A518" s="1221">
        <v>245110</v>
      </c>
      <c r="B518" s="1221" t="s">
        <v>972</v>
      </c>
      <c r="C518" s="1222" t="s">
        <v>121</v>
      </c>
      <c r="D518" s="1232">
        <v>0</v>
      </c>
      <c r="E518" s="1224">
        <f t="shared" si="14"/>
        <v>0</v>
      </c>
    </row>
    <row r="519" spans="1:5" ht="12.75">
      <c r="A519" s="1221">
        <v>247000</v>
      </c>
      <c r="B519" s="1221" t="s">
        <v>972</v>
      </c>
      <c r="C519" s="1222" t="s">
        <v>122</v>
      </c>
      <c r="D519" s="1223">
        <v>0</v>
      </c>
      <c r="E519" s="1224">
        <f t="shared" si="14"/>
        <v>0</v>
      </c>
    </row>
    <row r="520" spans="1:5" ht="12.75">
      <c r="A520" s="1221">
        <v>248000</v>
      </c>
      <c r="B520" s="1221" t="s">
        <v>972</v>
      </c>
      <c r="C520" s="1222" t="s">
        <v>123</v>
      </c>
      <c r="D520" s="1223">
        <v>0</v>
      </c>
      <c r="E520" s="1224">
        <f t="shared" si="14"/>
        <v>0</v>
      </c>
    </row>
    <row r="521" spans="1:5" ht="12.75">
      <c r="A521" s="1221">
        <v>248110</v>
      </c>
      <c r="B521" s="1221" t="s">
        <v>972</v>
      </c>
      <c r="C521" s="1222" t="s">
        <v>124</v>
      </c>
      <c r="D521" s="1223">
        <v>0</v>
      </c>
      <c r="E521" s="1224">
        <f t="shared" si="14"/>
        <v>0</v>
      </c>
    </row>
    <row r="522" spans="1:5" ht="12.75">
      <c r="A522" s="1221">
        <v>248120</v>
      </c>
      <c r="B522" s="1221" t="s">
        <v>972</v>
      </c>
      <c r="C522" s="1222" t="s">
        <v>126</v>
      </c>
      <c r="D522" s="1223">
        <v>0</v>
      </c>
      <c r="E522" s="1224">
        <f t="shared" si="14"/>
        <v>0</v>
      </c>
    </row>
    <row r="523" spans="1:5" ht="12.75">
      <c r="A523" s="1221">
        <v>248130</v>
      </c>
      <c r="B523" s="1221" t="s">
        <v>972</v>
      </c>
      <c r="C523" s="1222" t="s">
        <v>127</v>
      </c>
      <c r="D523" s="1223">
        <v>0</v>
      </c>
      <c r="E523" s="1228">
        <f>SUM(D524:D525)</f>
        <v>-2862908.75</v>
      </c>
    </row>
    <row r="524" spans="1:5" ht="12.75">
      <c r="A524" s="1221"/>
      <c r="B524" s="1221">
        <v>30</v>
      </c>
      <c r="C524" s="1229" t="s">
        <v>1071</v>
      </c>
      <c r="D524" s="1223">
        <v>-1431454.24</v>
      </c>
      <c r="E524" s="1224" t="str">
        <f aca="true" t="shared" si="15" ref="E524:E539">IF(A524&gt;0,D524,"No")</f>
        <v>No</v>
      </c>
    </row>
    <row r="525" spans="1:5" ht="12.75">
      <c r="A525" s="1221"/>
      <c r="B525" s="1221">
        <v>40</v>
      </c>
      <c r="C525" s="1229" t="s">
        <v>1072</v>
      </c>
      <c r="D525" s="1223">
        <v>-1431454.51</v>
      </c>
      <c r="E525" s="1224" t="str">
        <f t="shared" si="15"/>
        <v>No</v>
      </c>
    </row>
    <row r="526" spans="1:5" ht="12.75">
      <c r="A526" s="1221">
        <v>248131</v>
      </c>
      <c r="B526" s="1221" t="s">
        <v>972</v>
      </c>
      <c r="C526" s="1222" t="s">
        <v>141</v>
      </c>
      <c r="D526" s="1223">
        <v>0</v>
      </c>
      <c r="E526" s="1224">
        <f t="shared" si="15"/>
        <v>0</v>
      </c>
    </row>
    <row r="527" spans="1:5" ht="12.75">
      <c r="A527" s="1221">
        <v>250000</v>
      </c>
      <c r="B527" s="1221" t="s">
        <v>972</v>
      </c>
      <c r="C527" s="1238" t="s">
        <v>142</v>
      </c>
      <c r="D527" s="1223">
        <v>0</v>
      </c>
      <c r="E527" s="1224">
        <f t="shared" si="15"/>
        <v>0</v>
      </c>
    </row>
    <row r="528" spans="1:5" ht="12.75">
      <c r="A528" s="1221">
        <v>251000</v>
      </c>
      <c r="B528" s="1221" t="s">
        <v>972</v>
      </c>
      <c r="C528" s="1222" t="s">
        <v>143</v>
      </c>
      <c r="D528" s="1223">
        <v>0</v>
      </c>
      <c r="E528" s="1224">
        <f t="shared" si="15"/>
        <v>0</v>
      </c>
    </row>
    <row r="529" spans="1:5" ht="12.75">
      <c r="A529" s="1221">
        <v>251110</v>
      </c>
      <c r="B529" s="1221" t="s">
        <v>972</v>
      </c>
      <c r="C529" s="1222" t="s">
        <v>144</v>
      </c>
      <c r="D529" s="1223">
        <v>0</v>
      </c>
      <c r="E529" s="1224">
        <f t="shared" si="15"/>
        <v>0</v>
      </c>
    </row>
    <row r="530" spans="1:5" ht="12.75">
      <c r="A530" s="1221">
        <v>251120</v>
      </c>
      <c r="B530" s="1221" t="s">
        <v>972</v>
      </c>
      <c r="C530" s="1222" t="s">
        <v>145</v>
      </c>
      <c r="D530" s="1223">
        <v>0</v>
      </c>
      <c r="E530" s="1224">
        <f t="shared" si="15"/>
        <v>0</v>
      </c>
    </row>
    <row r="531" spans="1:5" ht="12.75">
      <c r="A531" s="1221">
        <v>251130</v>
      </c>
      <c r="B531" s="1221" t="s">
        <v>972</v>
      </c>
      <c r="C531" s="1222" t="s">
        <v>146</v>
      </c>
      <c r="D531" s="1223">
        <v>0</v>
      </c>
      <c r="E531" s="1224">
        <f t="shared" si="15"/>
        <v>0</v>
      </c>
    </row>
    <row r="532" spans="1:5" ht="12.75">
      <c r="A532" s="1221">
        <v>300000</v>
      </c>
      <c r="B532" s="1221" t="s">
        <v>972</v>
      </c>
      <c r="C532" s="1238" t="s">
        <v>147</v>
      </c>
      <c r="D532" s="1223">
        <v>0</v>
      </c>
      <c r="E532" s="1224">
        <f t="shared" si="15"/>
        <v>0</v>
      </c>
    </row>
    <row r="533" spans="1:5" ht="12.75">
      <c r="A533" s="1221">
        <v>310000</v>
      </c>
      <c r="B533" s="1221" t="s">
        <v>972</v>
      </c>
      <c r="C533" s="1222" t="s">
        <v>148</v>
      </c>
      <c r="D533" s="1223">
        <v>-121500000</v>
      </c>
      <c r="E533" s="1224">
        <f t="shared" si="15"/>
        <v>-121500000</v>
      </c>
    </row>
    <row r="534" spans="1:5" ht="12.75">
      <c r="A534" s="1221">
        <v>311000</v>
      </c>
      <c r="B534" s="1221" t="s">
        <v>972</v>
      </c>
      <c r="C534" s="1222" t="s">
        <v>149</v>
      </c>
      <c r="D534" s="1223">
        <v>-233350000</v>
      </c>
      <c r="E534" s="1224">
        <f t="shared" si="15"/>
        <v>-233350000</v>
      </c>
    </row>
    <row r="535" spans="1:5" ht="12.75">
      <c r="A535" s="1221">
        <v>320000</v>
      </c>
      <c r="B535" s="1221" t="s">
        <v>972</v>
      </c>
      <c r="C535" s="1222" t="s">
        <v>150</v>
      </c>
      <c r="D535" s="1223">
        <v>0</v>
      </c>
      <c r="E535" s="1224">
        <f t="shared" si="15"/>
        <v>0</v>
      </c>
    </row>
    <row r="536" spans="1:5" ht="12.75">
      <c r="A536" s="1221">
        <v>321000</v>
      </c>
      <c r="B536" s="1221" t="s">
        <v>972</v>
      </c>
      <c r="C536" s="1222" t="s">
        <v>151</v>
      </c>
      <c r="D536" s="1223">
        <v>0</v>
      </c>
      <c r="E536" s="1224">
        <f t="shared" si="15"/>
        <v>0</v>
      </c>
    </row>
    <row r="537" spans="1:5" ht="12.75">
      <c r="A537" s="1221">
        <v>322000</v>
      </c>
      <c r="B537" s="1221" t="s">
        <v>972</v>
      </c>
      <c r="C537" s="1222" t="s">
        <v>152</v>
      </c>
      <c r="D537" s="1223">
        <v>0</v>
      </c>
      <c r="E537" s="1224">
        <f t="shared" si="15"/>
        <v>0</v>
      </c>
    </row>
    <row r="538" spans="1:5" ht="12.75">
      <c r="A538" s="1221">
        <v>322100</v>
      </c>
      <c r="B538" s="1221" t="s">
        <v>972</v>
      </c>
      <c r="C538" s="1222" t="s">
        <v>153</v>
      </c>
      <c r="D538" s="1223">
        <v>-12150000</v>
      </c>
      <c r="E538" s="1224">
        <f t="shared" si="15"/>
        <v>-12150000</v>
      </c>
    </row>
    <row r="539" spans="1:5" ht="12.75">
      <c r="A539" s="1221">
        <v>323000</v>
      </c>
      <c r="B539" s="1221" t="s">
        <v>972</v>
      </c>
      <c r="C539" s="1222" t="s">
        <v>154</v>
      </c>
      <c r="D539" s="1223">
        <v>-251380662.04</v>
      </c>
      <c r="E539" s="1224">
        <f t="shared" si="15"/>
        <v>-251380662.04</v>
      </c>
    </row>
    <row r="540" spans="1:5" ht="12.75">
      <c r="A540" s="1221">
        <v>400000</v>
      </c>
      <c r="B540" s="1221" t="s">
        <v>972</v>
      </c>
      <c r="C540" s="1222" t="s">
        <v>155</v>
      </c>
      <c r="D540" s="1223">
        <v>0</v>
      </c>
      <c r="E540" s="1243">
        <f>IF(A540&gt;0,D540,"No")</f>
        <v>0</v>
      </c>
    </row>
    <row r="541" spans="1:5" ht="12.75">
      <c r="A541" s="1221">
        <v>410000</v>
      </c>
      <c r="B541" s="1221" t="s">
        <v>972</v>
      </c>
      <c r="C541" s="1222" t="s">
        <v>156</v>
      </c>
      <c r="D541" s="1223">
        <v>0</v>
      </c>
      <c r="E541" s="1243">
        <f>IF(A541&gt;0,D541,"No")</f>
        <v>0</v>
      </c>
    </row>
    <row r="542" spans="1:5" ht="12.75">
      <c r="A542" s="1221">
        <v>410110</v>
      </c>
      <c r="B542" s="1221" t="s">
        <v>972</v>
      </c>
      <c r="C542" s="1222" t="s">
        <v>157</v>
      </c>
      <c r="D542" s="1223">
        <v>0</v>
      </c>
      <c r="E542" s="1279">
        <f>SUM(D543:D544)</f>
        <v>-219036707.51</v>
      </c>
    </row>
    <row r="543" spans="1:5" ht="12.75">
      <c r="A543" s="1221"/>
      <c r="B543" s="1221">
        <v>30</v>
      </c>
      <c r="C543" s="1229" t="s">
        <v>1071</v>
      </c>
      <c r="D543" s="1223">
        <v>-107728310.76</v>
      </c>
      <c r="E543" s="1280" t="str">
        <f>IF(A543&gt;0,D543,"No")</f>
        <v>No</v>
      </c>
    </row>
    <row r="544" spans="1:5" ht="12.75">
      <c r="A544" s="1221"/>
      <c r="B544" s="1221">
        <v>40</v>
      </c>
      <c r="C544" s="1229" t="s">
        <v>1072</v>
      </c>
      <c r="D544" s="1223">
        <v>-111308396.75</v>
      </c>
      <c r="E544" s="1280" t="str">
        <f>IF(A544&gt;0,D544,"No")</f>
        <v>No</v>
      </c>
    </row>
    <row r="545" spans="1:5" ht="12.75">
      <c r="A545" s="1221">
        <v>410120</v>
      </c>
      <c r="B545" s="1221" t="s">
        <v>972</v>
      </c>
      <c r="C545" s="1222" t="s">
        <v>158</v>
      </c>
      <c r="D545" s="1223">
        <v>0</v>
      </c>
      <c r="E545" s="1279">
        <f>SUM(D546:D547)</f>
        <v>-150907807.12</v>
      </c>
    </row>
    <row r="546" spans="1:5" ht="12.75">
      <c r="A546" s="1221"/>
      <c r="B546" s="1221">
        <v>30</v>
      </c>
      <c r="C546" s="1229" t="s">
        <v>1071</v>
      </c>
      <c r="D546" s="1223">
        <v>-145487141.86</v>
      </c>
      <c r="E546" s="1280" t="str">
        <f>IF(A546&gt;0,D546,"No")</f>
        <v>No</v>
      </c>
    </row>
    <row r="547" spans="1:5" ht="12.75">
      <c r="A547" s="1221"/>
      <c r="B547" s="1221">
        <v>40</v>
      </c>
      <c r="C547" s="1229" t="s">
        <v>1072</v>
      </c>
      <c r="D547" s="1223">
        <v>-5420665.26</v>
      </c>
      <c r="E547" s="1280" t="str">
        <f>IF(A547&gt;0,D547,"No")</f>
        <v>No</v>
      </c>
    </row>
    <row r="548" spans="1:5" ht="12.75">
      <c r="A548" s="1221">
        <v>410130</v>
      </c>
      <c r="B548" s="1221" t="s">
        <v>972</v>
      </c>
      <c r="C548" s="1222" t="s">
        <v>159</v>
      </c>
      <c r="D548" s="1223">
        <v>0</v>
      </c>
      <c r="E548" s="1279">
        <f>SUM(D549:D550)</f>
        <v>0</v>
      </c>
    </row>
    <row r="549" spans="1:5" ht="12.75">
      <c r="A549" s="1221"/>
      <c r="B549" s="1221">
        <v>30</v>
      </c>
      <c r="C549" s="1229" t="s">
        <v>1071</v>
      </c>
      <c r="D549" s="1223">
        <v>0</v>
      </c>
      <c r="E549" s="1280" t="str">
        <f>IF(A549&gt;0,D549,"No")</f>
        <v>No</v>
      </c>
    </row>
    <row r="550" spans="1:5" ht="12.75">
      <c r="A550" s="1221"/>
      <c r="B550" s="1221">
        <v>40</v>
      </c>
      <c r="C550" s="1229" t="s">
        <v>1072</v>
      </c>
      <c r="D550" s="1223">
        <v>0</v>
      </c>
      <c r="E550" s="1280" t="str">
        <f>IF(A550&gt;0,D550,"No")</f>
        <v>No</v>
      </c>
    </row>
    <row r="551" spans="1:5" ht="12.75">
      <c r="A551" s="1245">
        <v>410140</v>
      </c>
      <c r="B551" s="1245" t="s">
        <v>972</v>
      </c>
      <c r="C551" s="1246" t="s">
        <v>160</v>
      </c>
      <c r="D551" s="1247">
        <v>0</v>
      </c>
      <c r="E551" s="1279">
        <f>SUM(D552:D553)</f>
        <v>-4114502.61</v>
      </c>
    </row>
    <row r="552" spans="1:5" ht="12.75">
      <c r="A552" s="1245"/>
      <c r="B552" s="1245">
        <v>30</v>
      </c>
      <c r="C552" s="1248" t="s">
        <v>1071</v>
      </c>
      <c r="D552" s="1247">
        <v>-4114502.61</v>
      </c>
      <c r="E552" s="1280" t="str">
        <f>IF(A552&gt;0,D552,"No")</f>
        <v>No</v>
      </c>
    </row>
    <row r="553" spans="1:5" ht="12.75">
      <c r="A553" s="1245"/>
      <c r="B553" s="1245">
        <v>40</v>
      </c>
      <c r="C553" s="1248" t="s">
        <v>1072</v>
      </c>
      <c r="D553" s="1247">
        <v>0</v>
      </c>
      <c r="E553" s="1280" t="str">
        <f>IF(A553&gt;0,D553,"No")</f>
        <v>No</v>
      </c>
    </row>
    <row r="554" spans="1:5" ht="12.75">
      <c r="A554" s="1221">
        <v>410200</v>
      </c>
      <c r="B554" s="1221" t="s">
        <v>972</v>
      </c>
      <c r="C554" s="1222" t="s">
        <v>161</v>
      </c>
      <c r="D554" s="1223">
        <v>0</v>
      </c>
      <c r="E554" s="1279">
        <f>SUM(D555)</f>
        <v>0</v>
      </c>
    </row>
    <row r="555" spans="1:5" ht="12.75">
      <c r="A555" s="1221"/>
      <c r="B555" s="1221">
        <v>50</v>
      </c>
      <c r="C555" s="1229" t="s">
        <v>162</v>
      </c>
      <c r="D555" s="1223">
        <v>0</v>
      </c>
      <c r="E555" s="1280" t="str">
        <f>IF(A555&gt;0,D555,"No")</f>
        <v>No</v>
      </c>
    </row>
    <row r="556" spans="1:5" ht="12.75">
      <c r="A556" s="1221">
        <v>411000</v>
      </c>
      <c r="B556" s="1221" t="s">
        <v>972</v>
      </c>
      <c r="C556" s="1222" t="s">
        <v>163</v>
      </c>
      <c r="D556" s="1223">
        <v>0</v>
      </c>
      <c r="E556" s="1280">
        <f>IF(A556&gt;0,D556,"No")</f>
        <v>0</v>
      </c>
    </row>
    <row r="557" spans="1:5" ht="12.75">
      <c r="A557" s="1221">
        <v>411110</v>
      </c>
      <c r="B557" s="1221" t="s">
        <v>972</v>
      </c>
      <c r="C557" s="1222" t="s">
        <v>164</v>
      </c>
      <c r="D557" s="1223">
        <v>0</v>
      </c>
      <c r="E557" s="1279">
        <f>SUM(D558:D560)</f>
        <v>1923219.2</v>
      </c>
    </row>
    <row r="558" spans="1:5" ht="12.75">
      <c r="A558" s="1221"/>
      <c r="B558" s="1221">
        <v>30</v>
      </c>
      <c r="C558" s="1229" t="s">
        <v>1071</v>
      </c>
      <c r="D558" s="1223">
        <v>513313.46</v>
      </c>
      <c r="E558" s="1280" t="str">
        <f>IF(A558&gt;0,D558,"No")</f>
        <v>No</v>
      </c>
    </row>
    <row r="559" spans="1:5" ht="12.75">
      <c r="A559" s="1221"/>
      <c r="B559" s="1221">
        <v>40</v>
      </c>
      <c r="C559" s="1229" t="s">
        <v>1072</v>
      </c>
      <c r="D559" s="1223">
        <v>1409905.74</v>
      </c>
      <c r="E559" s="1280" t="str">
        <f>IF(A559&gt;0,D559,"No")</f>
        <v>No</v>
      </c>
    </row>
    <row r="560" spans="1:5" ht="12.75">
      <c r="A560" s="1221"/>
      <c r="B560" s="1221">
        <v>50</v>
      </c>
      <c r="C560" s="1229" t="s">
        <v>162</v>
      </c>
      <c r="D560" s="1223">
        <v>0</v>
      </c>
      <c r="E560" s="1280" t="str">
        <f>IF(A560&gt;0,D560,"No")</f>
        <v>No</v>
      </c>
    </row>
    <row r="561" spans="1:5" ht="12.75">
      <c r="A561" s="1221">
        <v>411120</v>
      </c>
      <c r="B561" s="1221" t="s">
        <v>972</v>
      </c>
      <c r="C561" s="1222" t="s">
        <v>168</v>
      </c>
      <c r="D561" s="1223">
        <v>0</v>
      </c>
      <c r="E561" s="1279">
        <f>SUM(D562)</f>
        <v>0</v>
      </c>
    </row>
    <row r="562" spans="1:5" ht="12.75">
      <c r="A562" s="1221"/>
      <c r="B562" s="1221">
        <v>30</v>
      </c>
      <c r="C562" s="1229" t="s">
        <v>1071</v>
      </c>
      <c r="D562" s="1223">
        <v>0</v>
      </c>
      <c r="E562" s="1280" t="str">
        <f>IF(A562&gt;0,D562,"No")</f>
        <v>No</v>
      </c>
    </row>
    <row r="563" spans="1:5" ht="12.75">
      <c r="A563" s="1221">
        <v>411130</v>
      </c>
      <c r="B563" s="1221" t="s">
        <v>972</v>
      </c>
      <c r="C563" s="1222" t="s">
        <v>169</v>
      </c>
      <c r="D563" s="1223">
        <v>0</v>
      </c>
      <c r="E563" s="1279">
        <f>SUM(D564:D565)</f>
        <v>0</v>
      </c>
    </row>
    <row r="564" spans="1:5" ht="12.75">
      <c r="A564" s="1221"/>
      <c r="B564" s="1221">
        <v>30</v>
      </c>
      <c r="C564" s="1229" t="s">
        <v>1071</v>
      </c>
      <c r="D564" s="1223">
        <v>0</v>
      </c>
      <c r="E564" s="1280" t="str">
        <f>IF(A564&gt;0,D564,"No")</f>
        <v>No</v>
      </c>
    </row>
    <row r="565" spans="1:5" ht="12.75">
      <c r="A565" s="1221"/>
      <c r="B565" s="1221">
        <v>40</v>
      </c>
      <c r="C565" s="1229" t="s">
        <v>1072</v>
      </c>
      <c r="D565" s="1223">
        <v>0</v>
      </c>
      <c r="E565" s="1280" t="str">
        <f>IF(A565&gt;0,D565,"No")</f>
        <v>No</v>
      </c>
    </row>
    <row r="566" spans="1:5" ht="12.75">
      <c r="A566" s="1221">
        <v>412000</v>
      </c>
      <c r="B566" s="1221" t="s">
        <v>972</v>
      </c>
      <c r="C566" s="1222" t="s">
        <v>170</v>
      </c>
      <c r="D566" s="1223">
        <v>0</v>
      </c>
      <c r="E566" s="1280">
        <f>IF(A566&gt;0,D566,"No")</f>
        <v>0</v>
      </c>
    </row>
    <row r="567" spans="1:5" ht="12.75">
      <c r="A567" s="1221">
        <v>412110</v>
      </c>
      <c r="B567" s="1221" t="s">
        <v>972</v>
      </c>
      <c r="C567" s="1222" t="s">
        <v>171</v>
      </c>
      <c r="D567" s="1223">
        <v>0</v>
      </c>
      <c r="E567" s="1279">
        <f>SUM(D568:D570)</f>
        <v>86462.58</v>
      </c>
    </row>
    <row r="568" spans="1:5" ht="12.75">
      <c r="A568" s="1221"/>
      <c r="B568" s="1221">
        <v>30</v>
      </c>
      <c r="C568" s="1229" t="s">
        <v>1071</v>
      </c>
      <c r="D568" s="1223">
        <v>12.28</v>
      </c>
      <c r="E568" s="1280" t="str">
        <f>IF(A568&gt;0,D568,"No")</f>
        <v>No</v>
      </c>
    </row>
    <row r="569" spans="1:5" ht="12.75">
      <c r="A569" s="1221"/>
      <c r="B569" s="1221">
        <v>40</v>
      </c>
      <c r="C569" s="1229" t="s">
        <v>1072</v>
      </c>
      <c r="D569" s="1223">
        <v>86450.3</v>
      </c>
      <c r="E569" s="1280" t="str">
        <f>IF(A569&gt;0,D569,"No")</f>
        <v>No</v>
      </c>
    </row>
    <row r="570" spans="1:5" ht="12.75">
      <c r="A570" s="1221"/>
      <c r="B570" s="1221">
        <v>50</v>
      </c>
      <c r="C570" s="1229" t="s">
        <v>162</v>
      </c>
      <c r="D570" s="1223">
        <v>0</v>
      </c>
      <c r="E570" s="1280" t="str">
        <f>IF(A570&gt;0,D570,"No")</f>
        <v>No</v>
      </c>
    </row>
    <row r="571" spans="1:5" ht="12.75">
      <c r="A571" s="1221">
        <v>412120</v>
      </c>
      <c r="B571" s="1221" t="s">
        <v>972</v>
      </c>
      <c r="C571" s="1222" t="s">
        <v>172</v>
      </c>
      <c r="D571" s="1223">
        <v>0</v>
      </c>
      <c r="E571" s="1279">
        <f>SUM(D572:D573)</f>
        <v>44723.310000000005</v>
      </c>
    </row>
    <row r="572" spans="1:5" ht="12.75">
      <c r="A572" s="1221"/>
      <c r="B572" s="1221">
        <v>30</v>
      </c>
      <c r="C572" s="1229" t="s">
        <v>1071</v>
      </c>
      <c r="D572" s="1223">
        <v>40911.41</v>
      </c>
      <c r="E572" s="1280" t="str">
        <f>IF(A572&gt;0,D572,"No")</f>
        <v>No</v>
      </c>
    </row>
    <row r="573" spans="1:5" ht="12.75">
      <c r="A573" s="1221"/>
      <c r="B573" s="1221">
        <v>40</v>
      </c>
      <c r="C573" s="1229" t="s">
        <v>1072</v>
      </c>
      <c r="D573" s="1223">
        <v>3811.9</v>
      </c>
      <c r="E573" s="1280" t="str">
        <f>IF(A573&gt;0,D573,"No")</f>
        <v>No</v>
      </c>
    </row>
    <row r="574" spans="1:5" ht="12.75">
      <c r="A574" s="1221">
        <v>412130</v>
      </c>
      <c r="B574" s="1221" t="s">
        <v>972</v>
      </c>
      <c r="C574" s="1222" t="s">
        <v>173</v>
      </c>
      <c r="D574" s="1223">
        <v>0</v>
      </c>
      <c r="E574" s="1279">
        <f>SUM(D575:D576)</f>
        <v>3009.11</v>
      </c>
    </row>
    <row r="575" spans="1:5" ht="12.75">
      <c r="A575" s="1221"/>
      <c r="B575" s="1221">
        <v>30</v>
      </c>
      <c r="C575" s="1229" t="s">
        <v>1071</v>
      </c>
      <c r="D575" s="1223">
        <v>3009.11</v>
      </c>
      <c r="E575" s="1280" t="str">
        <f>IF(A575&gt;0,D575,"No")</f>
        <v>No</v>
      </c>
    </row>
    <row r="576" spans="1:5" ht="12.75">
      <c r="A576" s="1221"/>
      <c r="B576" s="1221">
        <v>40</v>
      </c>
      <c r="C576" s="1229" t="s">
        <v>1072</v>
      </c>
      <c r="D576" s="1223">
        <v>0</v>
      </c>
      <c r="E576" s="1280" t="str">
        <f>IF(A576&gt;0,D576,"No")</f>
        <v>No</v>
      </c>
    </row>
    <row r="577" spans="1:5" ht="12.75">
      <c r="A577" s="1221">
        <v>420000</v>
      </c>
      <c r="B577" s="1221" t="s">
        <v>972</v>
      </c>
      <c r="C577" s="1222" t="s">
        <v>174</v>
      </c>
      <c r="D577" s="1223">
        <v>0</v>
      </c>
      <c r="E577" s="1280">
        <f>IF(A577&gt;0,D577,"No")</f>
        <v>0</v>
      </c>
    </row>
    <row r="578" spans="1:5" ht="12.75">
      <c r="A578" s="1221">
        <v>420110</v>
      </c>
      <c r="B578" s="1221" t="s">
        <v>972</v>
      </c>
      <c r="C578" s="1222" t="s">
        <v>175</v>
      </c>
      <c r="D578" s="1223">
        <v>0</v>
      </c>
      <c r="E578" s="1279">
        <f>SUM(D579:D580)</f>
        <v>-10172839.91</v>
      </c>
    </row>
    <row r="579" spans="1:5" ht="12.75">
      <c r="A579" s="1225"/>
      <c r="B579" s="1225">
        <v>30</v>
      </c>
      <c r="C579" s="1241" t="s">
        <v>1071</v>
      </c>
      <c r="D579" s="1227">
        <v>-10172839.91</v>
      </c>
      <c r="E579" s="1280" t="str">
        <f>IF(A579&gt;0,D579,"No")</f>
        <v>No</v>
      </c>
    </row>
    <row r="580" spans="1:5" ht="12.75">
      <c r="A580" s="1225"/>
      <c r="B580" s="1225">
        <v>40</v>
      </c>
      <c r="C580" s="1241" t="s">
        <v>1072</v>
      </c>
      <c r="D580" s="1227">
        <v>0</v>
      </c>
      <c r="E580" s="1280" t="str">
        <f>IF(A580&gt;0,D580,"No")</f>
        <v>No</v>
      </c>
    </row>
    <row r="581" spans="1:5" ht="12.75">
      <c r="A581" s="1225">
        <v>420120</v>
      </c>
      <c r="B581" s="1225" t="s">
        <v>972</v>
      </c>
      <c r="C581" s="1226" t="s">
        <v>176</v>
      </c>
      <c r="D581" s="1227">
        <v>0</v>
      </c>
      <c r="E581" s="1279">
        <f>SUM(D582:D583)</f>
        <v>-142985.97999999998</v>
      </c>
    </row>
    <row r="582" spans="1:5" ht="12.75">
      <c r="A582" s="1249"/>
      <c r="B582" s="1249">
        <v>30</v>
      </c>
      <c r="C582" s="1250" t="s">
        <v>1071</v>
      </c>
      <c r="D582" s="1251">
        <v>-1553.08</v>
      </c>
      <c r="E582" s="1280" t="str">
        <f>IF(A582&gt;0,D582,"No")</f>
        <v>No</v>
      </c>
    </row>
    <row r="583" spans="1:5" ht="12.75">
      <c r="A583" s="1221"/>
      <c r="B583" s="1221">
        <v>40</v>
      </c>
      <c r="C583" s="1229" t="s">
        <v>1072</v>
      </c>
      <c r="D583" s="1223">
        <v>-141432.9</v>
      </c>
      <c r="E583" s="1280" t="str">
        <f>IF(A583&gt;0,D583,"No")</f>
        <v>No</v>
      </c>
    </row>
    <row r="584" spans="1:5" ht="12.75">
      <c r="A584" s="1221">
        <v>421000</v>
      </c>
      <c r="B584" s="1221" t="s">
        <v>972</v>
      </c>
      <c r="C584" s="1222" t="s">
        <v>177</v>
      </c>
      <c r="D584" s="1223">
        <v>-90681.5</v>
      </c>
      <c r="E584" s="1280">
        <f>IF(A584&gt;0,D584,"No")</f>
        <v>-90681.5</v>
      </c>
    </row>
    <row r="585" spans="1:5" ht="12.75">
      <c r="A585" s="1221">
        <v>422100</v>
      </c>
      <c r="B585" s="1221" t="s">
        <v>972</v>
      </c>
      <c r="C585" s="1222" t="s">
        <v>178</v>
      </c>
      <c r="D585" s="1223">
        <v>-5945</v>
      </c>
      <c r="E585" s="1280">
        <f>IF(A585&gt;0,D585,"No")</f>
        <v>-5945</v>
      </c>
    </row>
    <row r="586" spans="1:5" ht="12.75">
      <c r="A586" s="1225">
        <v>422000</v>
      </c>
      <c r="B586" s="1225" t="s">
        <v>972</v>
      </c>
      <c r="C586" s="1226" t="s">
        <v>179</v>
      </c>
      <c r="D586" s="1227">
        <v>0</v>
      </c>
      <c r="E586" s="1279">
        <f>SUM(D587:D588)</f>
        <v>-539026.3</v>
      </c>
    </row>
    <row r="587" spans="1:5" ht="12.75">
      <c r="A587" s="1225"/>
      <c r="B587" s="1225">
        <v>30</v>
      </c>
      <c r="C587" s="1241" t="s">
        <v>1071</v>
      </c>
      <c r="D587" s="1227">
        <v>-396090.5</v>
      </c>
      <c r="E587" s="1280" t="str">
        <f>IF(A587&gt;0,D587,"No")</f>
        <v>No</v>
      </c>
    </row>
    <row r="588" spans="1:5" ht="12.75">
      <c r="A588" s="1225"/>
      <c r="B588" s="1225">
        <v>40</v>
      </c>
      <c r="C588" s="1241" t="s">
        <v>1072</v>
      </c>
      <c r="D588" s="1227">
        <v>-142935.8</v>
      </c>
      <c r="E588" s="1280" t="str">
        <f>IF(A588&gt;0,D588,"No")</f>
        <v>No</v>
      </c>
    </row>
    <row r="589" spans="1:5" ht="12.75">
      <c r="A589" s="1225">
        <v>422100</v>
      </c>
      <c r="B589" s="1225" t="s">
        <v>972</v>
      </c>
      <c r="C589" s="1226" t="s">
        <v>180</v>
      </c>
      <c r="D589" s="1227">
        <v>0</v>
      </c>
      <c r="E589" s="1279">
        <f>SUM(D590:D591)</f>
        <v>-6534232.28</v>
      </c>
    </row>
    <row r="590" spans="1:5" ht="12.75">
      <c r="A590" s="1225"/>
      <c r="B590" s="1225">
        <v>30</v>
      </c>
      <c r="C590" s="1241" t="s">
        <v>1071</v>
      </c>
      <c r="D590" s="1227">
        <v>0</v>
      </c>
      <c r="E590" s="1280" t="str">
        <f>IF(A590&gt;0,D590,"No")</f>
        <v>No</v>
      </c>
    </row>
    <row r="591" spans="1:5" ht="12.75">
      <c r="A591" s="1225"/>
      <c r="B591" s="1225">
        <v>40</v>
      </c>
      <c r="C591" s="1241" t="s">
        <v>1072</v>
      </c>
      <c r="D591" s="1227">
        <v>-6534232.28</v>
      </c>
      <c r="E591" s="1280" t="str">
        <f>IF(A591&gt;0,D591,"No")</f>
        <v>No</v>
      </c>
    </row>
    <row r="592" spans="1:5" ht="12.75">
      <c r="A592" s="1225">
        <v>422201</v>
      </c>
      <c r="B592" s="1225" t="s">
        <v>972</v>
      </c>
      <c r="C592" s="1226" t="s">
        <v>181</v>
      </c>
      <c r="D592" s="1227">
        <v>0</v>
      </c>
      <c r="E592" s="1279">
        <f>SUM(D593)</f>
        <v>-387135</v>
      </c>
    </row>
    <row r="593" spans="1:5" ht="12.75">
      <c r="A593" s="1225"/>
      <c r="B593" s="1225">
        <v>30</v>
      </c>
      <c r="C593" s="1241" t="s">
        <v>1071</v>
      </c>
      <c r="D593" s="1227">
        <v>-387135</v>
      </c>
      <c r="E593" s="1280" t="str">
        <f>IF(A593&gt;0,D593,"No")</f>
        <v>No</v>
      </c>
    </row>
    <row r="594" spans="1:5" ht="12.75">
      <c r="A594" s="1225">
        <v>422202</v>
      </c>
      <c r="B594" s="1225" t="s">
        <v>972</v>
      </c>
      <c r="C594" s="1226" t="s">
        <v>182</v>
      </c>
      <c r="D594" s="1227">
        <v>0</v>
      </c>
      <c r="E594" s="1279">
        <f>SUM(D595)</f>
        <v>0</v>
      </c>
    </row>
    <row r="595" spans="1:5" ht="12.75">
      <c r="A595" s="1225"/>
      <c r="B595" s="1225">
        <v>30</v>
      </c>
      <c r="C595" s="1241" t="s">
        <v>1071</v>
      </c>
      <c r="D595" s="1227">
        <v>0</v>
      </c>
      <c r="E595" s="1280" t="str">
        <f>IF(A595&gt;0,D595,"No")</f>
        <v>No</v>
      </c>
    </row>
    <row r="596" spans="1:5" ht="12.75">
      <c r="A596" s="1225">
        <v>423000</v>
      </c>
      <c r="B596" s="1225" t="s">
        <v>972</v>
      </c>
      <c r="C596" s="1226" t="s">
        <v>183</v>
      </c>
      <c r="D596" s="1227">
        <v>0</v>
      </c>
      <c r="E596" s="1279">
        <f>SUM(D597:D598)</f>
        <v>5729315.97654</v>
      </c>
    </row>
    <row r="597" spans="1:5" ht="12.75">
      <c r="A597" s="1225"/>
      <c r="B597" s="1225">
        <v>30</v>
      </c>
      <c r="C597" s="1241" t="s">
        <v>1071</v>
      </c>
      <c r="D597" s="1227">
        <v>5483753.206540001</v>
      </c>
      <c r="E597" s="1280" t="str">
        <f>IF(A597&gt;0,D597,"No")</f>
        <v>No</v>
      </c>
    </row>
    <row r="598" spans="1:5" ht="12.75">
      <c r="A598" s="1225"/>
      <c r="B598" s="1225">
        <v>40</v>
      </c>
      <c r="C598" s="1241" t="s">
        <v>1072</v>
      </c>
      <c r="D598" s="1227">
        <v>245562.77</v>
      </c>
      <c r="E598" s="1280" t="str">
        <f>IF(A598&gt;0,D598,"No")</f>
        <v>No</v>
      </c>
    </row>
    <row r="599" spans="1:5" ht="12.75">
      <c r="A599" s="1225">
        <v>423100</v>
      </c>
      <c r="B599" s="1225" t="s">
        <v>972</v>
      </c>
      <c r="C599" s="1226" t="s">
        <v>184</v>
      </c>
      <c r="D599" s="1227">
        <v>0</v>
      </c>
      <c r="E599" s="1279">
        <f>SUM(D600:D601)</f>
        <v>-7185.02</v>
      </c>
    </row>
    <row r="600" spans="1:5" ht="12.75">
      <c r="A600" s="1225"/>
      <c r="B600" s="1225">
        <v>30</v>
      </c>
      <c r="C600" s="1241" t="s">
        <v>1071</v>
      </c>
      <c r="D600" s="1227">
        <v>-7237.38</v>
      </c>
      <c r="E600" s="1280" t="str">
        <f>IF(A600&gt;0,D600,"No")</f>
        <v>No</v>
      </c>
    </row>
    <row r="601" spans="1:5" ht="12.75">
      <c r="A601" s="1225"/>
      <c r="B601" s="1225">
        <v>40</v>
      </c>
      <c r="C601" s="1241" t="s">
        <v>1072</v>
      </c>
      <c r="D601" s="1227">
        <v>52.36</v>
      </c>
      <c r="E601" s="1280" t="str">
        <f>IF(A601&gt;0,D601,"No")</f>
        <v>No</v>
      </c>
    </row>
    <row r="602" spans="1:5" ht="12.75">
      <c r="A602" s="1225">
        <v>424000</v>
      </c>
      <c r="B602" s="1225" t="s">
        <v>972</v>
      </c>
      <c r="C602" s="1226" t="s">
        <v>185</v>
      </c>
      <c r="D602" s="1227">
        <v>0</v>
      </c>
      <c r="E602" s="1280">
        <f>IF(A602&gt;0,D602,"No")</f>
        <v>0</v>
      </c>
    </row>
    <row r="603" spans="1:5" ht="12.75">
      <c r="A603" s="1225">
        <v>424110</v>
      </c>
      <c r="B603" s="1225" t="s">
        <v>972</v>
      </c>
      <c r="C603" s="1226" t="s">
        <v>186</v>
      </c>
      <c r="D603" s="1227">
        <v>0</v>
      </c>
      <c r="E603" s="1280">
        <f>IF(A603&gt;0,D603,"No")</f>
        <v>0</v>
      </c>
    </row>
    <row r="604" spans="1:5" ht="12.75">
      <c r="A604" s="1225">
        <v>425110</v>
      </c>
      <c r="B604" s="1225" t="s">
        <v>972</v>
      </c>
      <c r="C604" s="1226" t="s">
        <v>187</v>
      </c>
      <c r="D604" s="1227">
        <v>0</v>
      </c>
      <c r="E604" s="1279">
        <f>SUM(D605:D607)</f>
        <v>0</v>
      </c>
    </row>
    <row r="605" spans="1:5" ht="12.75">
      <c r="A605" s="1225"/>
      <c r="B605" s="1225">
        <v>30</v>
      </c>
      <c r="C605" s="1241" t="s">
        <v>1071</v>
      </c>
      <c r="D605" s="1227">
        <v>0</v>
      </c>
      <c r="E605" s="1280" t="str">
        <f>IF(A605&gt;0,D605,"No")</f>
        <v>No</v>
      </c>
    </row>
    <row r="606" spans="1:5" ht="12.75">
      <c r="A606" s="1225"/>
      <c r="B606" s="1225">
        <v>40</v>
      </c>
      <c r="C606" s="1241" t="s">
        <v>1072</v>
      </c>
      <c r="D606" s="1227">
        <v>0</v>
      </c>
      <c r="E606" s="1280" t="str">
        <f>IF(A606&gt;0,D606,"No")</f>
        <v>No</v>
      </c>
    </row>
    <row r="607" spans="1:5" ht="12.75">
      <c r="A607" s="1225"/>
      <c r="B607" s="1225">
        <v>50</v>
      </c>
      <c r="C607" s="1241" t="s">
        <v>162</v>
      </c>
      <c r="D607" s="1227">
        <v>0</v>
      </c>
      <c r="E607" s="1280" t="str">
        <f>IF(A607&gt;0,D607,"No")</f>
        <v>No</v>
      </c>
    </row>
    <row r="608" spans="1:5" ht="12.75">
      <c r="A608" s="1225">
        <v>425120</v>
      </c>
      <c r="B608" s="1225" t="s">
        <v>972</v>
      </c>
      <c r="C608" s="1226" t="s">
        <v>188</v>
      </c>
      <c r="D608" s="1227">
        <v>0</v>
      </c>
      <c r="E608" s="1279">
        <f>SUM(D609)</f>
        <v>0</v>
      </c>
    </row>
    <row r="609" spans="1:5" ht="12.75">
      <c r="A609" s="1225"/>
      <c r="B609" s="1225">
        <v>30</v>
      </c>
      <c r="C609" s="1241" t="s">
        <v>1071</v>
      </c>
      <c r="D609" s="1227">
        <v>0</v>
      </c>
      <c r="E609" s="1280" t="str">
        <f>IF(A609&gt;0,D609,"No")</f>
        <v>No</v>
      </c>
    </row>
    <row r="610" spans="1:5" ht="12.75">
      <c r="A610" s="1225">
        <v>500000</v>
      </c>
      <c r="B610" s="1225" t="s">
        <v>972</v>
      </c>
      <c r="C610" s="1252" t="s">
        <v>189</v>
      </c>
      <c r="D610" s="1227">
        <v>0</v>
      </c>
      <c r="E610" s="1243">
        <f>IF(A610&gt;0,D610,"No")</f>
        <v>0</v>
      </c>
    </row>
    <row r="611" spans="1:5" ht="12.75">
      <c r="A611" s="1225">
        <v>510000</v>
      </c>
      <c r="B611" s="1225" t="s">
        <v>972</v>
      </c>
      <c r="C611" s="1226" t="s">
        <v>1006</v>
      </c>
      <c r="D611" s="1227">
        <v>64086762.349999994</v>
      </c>
      <c r="E611" s="1243">
        <f>IF(A611&gt;0,D611,"No")</f>
        <v>64086762.349999994</v>
      </c>
    </row>
    <row r="612" spans="1:5" ht="12.75">
      <c r="A612" s="1225">
        <v>515000</v>
      </c>
      <c r="B612" s="1225" t="s">
        <v>972</v>
      </c>
      <c r="C612" s="1226" t="s">
        <v>190</v>
      </c>
      <c r="D612" s="1227">
        <v>0</v>
      </c>
      <c r="E612" s="1243">
        <f>IF(A612&gt;0,D612,"No")</f>
        <v>0</v>
      </c>
    </row>
    <row r="613" spans="1:5" ht="12.75">
      <c r="A613" s="1225">
        <v>515100</v>
      </c>
      <c r="B613" s="1225" t="s">
        <v>972</v>
      </c>
      <c r="C613" s="1226" t="s">
        <v>191</v>
      </c>
      <c r="D613" s="1227">
        <v>0</v>
      </c>
      <c r="E613" s="1244">
        <f>SUM(D614:D616)</f>
        <v>-405321.92</v>
      </c>
    </row>
    <row r="614" spans="1:5" ht="12.75">
      <c r="A614" s="1225"/>
      <c r="B614" s="1225">
        <v>30</v>
      </c>
      <c r="C614" s="1241" t="s">
        <v>1071</v>
      </c>
      <c r="D614" s="1227">
        <v>-7746.92</v>
      </c>
      <c r="E614" s="1243" t="str">
        <f>IF(A614&gt;0,D614,"No")</f>
        <v>No</v>
      </c>
    </row>
    <row r="615" spans="1:5" ht="12.75">
      <c r="A615" s="1225"/>
      <c r="B615" s="1225">
        <v>40</v>
      </c>
      <c r="C615" s="1241" t="s">
        <v>1072</v>
      </c>
      <c r="D615" s="1227">
        <v>-397575</v>
      </c>
      <c r="E615" s="1243" t="str">
        <f>IF(A615&gt;0,D615,"No")</f>
        <v>No</v>
      </c>
    </row>
    <row r="616" spans="1:5" ht="12.75">
      <c r="A616" s="1225"/>
      <c r="B616" s="1225">
        <v>50</v>
      </c>
      <c r="C616" s="1241" t="s">
        <v>162</v>
      </c>
      <c r="D616" s="1227">
        <v>0</v>
      </c>
      <c r="E616" s="1243" t="str">
        <f>IF(A616&gt;0,D616,"No")</f>
        <v>No</v>
      </c>
    </row>
    <row r="617" spans="1:5" ht="12.75">
      <c r="A617" s="1221">
        <v>515101</v>
      </c>
      <c r="B617" s="1221" t="s">
        <v>972</v>
      </c>
      <c r="C617" s="1222" t="s">
        <v>192</v>
      </c>
      <c r="D617" s="1223">
        <v>0</v>
      </c>
      <c r="E617" s="1244">
        <f>SUM(D618:D619)</f>
        <v>0</v>
      </c>
    </row>
    <row r="618" spans="1:5" ht="12.75">
      <c r="A618" s="1221"/>
      <c r="B618" s="1221">
        <v>30</v>
      </c>
      <c r="C618" s="1229" t="s">
        <v>1071</v>
      </c>
      <c r="D618" s="1223">
        <v>0</v>
      </c>
      <c r="E618" s="1243" t="str">
        <f>IF(A618&gt;0,D618,"No")</f>
        <v>No</v>
      </c>
    </row>
    <row r="619" spans="1:5" ht="12.75">
      <c r="A619" s="1221"/>
      <c r="B619" s="1221">
        <v>40</v>
      </c>
      <c r="C619" s="1229" t="s">
        <v>1072</v>
      </c>
      <c r="D619" s="1223">
        <v>0</v>
      </c>
      <c r="E619" s="1243" t="str">
        <f>IF(A619&gt;0,D619,"No")</f>
        <v>No</v>
      </c>
    </row>
    <row r="620" spans="1:5" ht="12.75">
      <c r="A620" s="1221">
        <v>515102</v>
      </c>
      <c r="B620" s="1221" t="s">
        <v>972</v>
      </c>
      <c r="C620" s="1222" t="s">
        <v>193</v>
      </c>
      <c r="D620" s="1223">
        <v>0</v>
      </c>
      <c r="E620" s="1244">
        <f>SUM(D621)</f>
        <v>0</v>
      </c>
    </row>
    <row r="621" spans="1:5" ht="12.75">
      <c r="A621" s="1221"/>
      <c r="B621" s="1221">
        <v>30</v>
      </c>
      <c r="C621" s="1229" t="s">
        <v>1071</v>
      </c>
      <c r="D621" s="1223">
        <v>0</v>
      </c>
      <c r="E621" s="1243" t="str">
        <f>IF(A621&gt;0,D621,"No")</f>
        <v>No</v>
      </c>
    </row>
    <row r="622" spans="1:5" ht="12.75">
      <c r="A622" s="1221">
        <v>515110</v>
      </c>
      <c r="B622" s="1221" t="s">
        <v>972</v>
      </c>
      <c r="C622" s="1222" t="s">
        <v>194</v>
      </c>
      <c r="D622" s="1223">
        <v>0</v>
      </c>
      <c r="E622" s="1244">
        <f>SUM(D623:D626)</f>
        <v>247538428.5</v>
      </c>
    </row>
    <row r="623" spans="1:5" ht="12.75">
      <c r="A623" s="1221"/>
      <c r="B623" s="1221">
        <v>30</v>
      </c>
      <c r="C623" s="1229" t="s">
        <v>1071</v>
      </c>
      <c r="D623" s="1223">
        <v>157840721</v>
      </c>
      <c r="E623" s="1243" t="str">
        <f>IF(A623&gt;0,D623,"No")</f>
        <v>No</v>
      </c>
    </row>
    <row r="624" spans="1:5" ht="12.75">
      <c r="A624" s="1221"/>
      <c r="B624" s="1221">
        <v>40</v>
      </c>
      <c r="C624" s="1229" t="s">
        <v>1072</v>
      </c>
      <c r="D624" s="1223">
        <v>89697707.5</v>
      </c>
      <c r="E624" s="1243" t="str">
        <f>IF(A624&gt;0,D624,"No")</f>
        <v>No</v>
      </c>
    </row>
    <row r="625" spans="1:5" ht="12.75">
      <c r="A625" s="1221"/>
      <c r="B625" s="1221">
        <v>50</v>
      </c>
      <c r="C625" s="1229" t="s">
        <v>162</v>
      </c>
      <c r="D625" s="1223">
        <v>0</v>
      </c>
      <c r="E625" s="1243" t="str">
        <f>IF(A625&gt;0,D625,"No")</f>
        <v>No</v>
      </c>
    </row>
    <row r="626" spans="1:5" ht="12.75">
      <c r="A626" s="1221"/>
      <c r="B626" s="1221">
        <v>60</v>
      </c>
      <c r="C626" s="1229" t="s">
        <v>195</v>
      </c>
      <c r="D626" s="1223">
        <v>0</v>
      </c>
      <c r="E626" s="1243" t="str">
        <f>IF(A626&gt;0,D626,"No")</f>
        <v>No</v>
      </c>
    </row>
    <row r="627" spans="1:5" ht="12.75">
      <c r="A627" s="1225">
        <v>515120</v>
      </c>
      <c r="B627" s="1225" t="s">
        <v>972</v>
      </c>
      <c r="C627" s="1226" t="s">
        <v>196</v>
      </c>
      <c r="D627" s="1227">
        <v>0</v>
      </c>
      <c r="E627" s="1244">
        <f>SUM(D628:D630)</f>
        <v>15586235.05</v>
      </c>
    </row>
    <row r="628" spans="1:5" ht="12.75">
      <c r="A628" s="1225"/>
      <c r="B628" s="1225">
        <v>30</v>
      </c>
      <c r="C628" s="1241" t="s">
        <v>1071</v>
      </c>
      <c r="D628" s="1227">
        <v>10326627.26</v>
      </c>
      <c r="E628" s="1243" t="str">
        <f>IF(A628&gt;0,D628,"No")</f>
        <v>No</v>
      </c>
    </row>
    <row r="629" spans="1:5" ht="12.75">
      <c r="A629" s="1225"/>
      <c r="B629" s="1225">
        <v>40</v>
      </c>
      <c r="C629" s="1241" t="s">
        <v>1072</v>
      </c>
      <c r="D629" s="1227">
        <v>5259607.79</v>
      </c>
      <c r="E629" s="1243" t="str">
        <f>IF(A629&gt;0,D629,"No")</f>
        <v>No</v>
      </c>
    </row>
    <row r="630" spans="1:5" ht="12.75">
      <c r="A630" s="1221"/>
      <c r="B630" s="1221">
        <v>50</v>
      </c>
      <c r="C630" s="1229" t="s">
        <v>162</v>
      </c>
      <c r="D630" s="1223">
        <v>0</v>
      </c>
      <c r="E630" s="1243" t="str">
        <f>IF(A630&gt;0,D630,"No")</f>
        <v>No</v>
      </c>
    </row>
    <row r="631" spans="1:5" ht="12.75">
      <c r="A631" s="1221">
        <v>516110</v>
      </c>
      <c r="B631" s="1221" t="s">
        <v>972</v>
      </c>
      <c r="C631" s="1222" t="s">
        <v>197</v>
      </c>
      <c r="D631" s="1223">
        <v>0</v>
      </c>
      <c r="E631" s="1244">
        <f>SUM(D632:D633)</f>
        <v>0</v>
      </c>
    </row>
    <row r="632" spans="1:5" ht="12.75">
      <c r="A632" s="1221"/>
      <c r="B632" s="1221">
        <v>30</v>
      </c>
      <c r="C632" s="1229" t="s">
        <v>1071</v>
      </c>
      <c r="D632" s="1223">
        <v>0</v>
      </c>
      <c r="E632" s="1243" t="str">
        <f>IF(A632&gt;0,D632,"No")</f>
        <v>No</v>
      </c>
    </row>
    <row r="633" spans="1:5" ht="12.75">
      <c r="A633" s="1221"/>
      <c r="B633" s="1221">
        <v>40</v>
      </c>
      <c r="C633" s="1229" t="s">
        <v>1072</v>
      </c>
      <c r="D633" s="1223">
        <v>0</v>
      </c>
      <c r="E633" s="1243" t="str">
        <f>IF(A633&gt;0,D633,"No")</f>
        <v>No</v>
      </c>
    </row>
    <row r="634" spans="1:5" ht="12.75">
      <c r="A634" s="1221">
        <v>516120</v>
      </c>
      <c r="B634" s="1221" t="s">
        <v>972</v>
      </c>
      <c r="C634" s="1222" t="s">
        <v>198</v>
      </c>
      <c r="D634" s="1223">
        <v>0</v>
      </c>
      <c r="E634" s="1244">
        <f>SUM(D635:D637)</f>
        <v>737143.69</v>
      </c>
    </row>
    <row r="635" spans="1:5" ht="12.75">
      <c r="A635" s="1221"/>
      <c r="B635" s="1221">
        <v>30</v>
      </c>
      <c r="C635" s="1229" t="s">
        <v>1071</v>
      </c>
      <c r="D635" s="1223">
        <v>469960.69</v>
      </c>
      <c r="E635" s="1243" t="str">
        <f>IF(A635&gt;0,D635,"No")</f>
        <v>No</v>
      </c>
    </row>
    <row r="636" spans="1:5" ht="12.75">
      <c r="A636" s="1221"/>
      <c r="B636" s="1221">
        <v>40</v>
      </c>
      <c r="C636" s="1229" t="s">
        <v>1072</v>
      </c>
      <c r="D636" s="1223">
        <v>267183</v>
      </c>
      <c r="E636" s="1243" t="str">
        <f>IF(A636&gt;0,D636,"No")</f>
        <v>No</v>
      </c>
    </row>
    <row r="637" spans="1:5" ht="12.75">
      <c r="A637" s="1221"/>
      <c r="B637" s="1221">
        <v>50</v>
      </c>
      <c r="C637" s="1229" t="s">
        <v>162</v>
      </c>
      <c r="D637" s="1223">
        <v>0</v>
      </c>
      <c r="E637" s="1243" t="str">
        <f>IF(A637&gt;0,D637,"No")</f>
        <v>No</v>
      </c>
    </row>
    <row r="638" spans="1:5" ht="12.75">
      <c r="A638" s="1221">
        <v>516130</v>
      </c>
      <c r="B638" s="1221" t="s">
        <v>972</v>
      </c>
      <c r="C638" s="1222" t="s">
        <v>199</v>
      </c>
      <c r="D638" s="1223">
        <v>0</v>
      </c>
      <c r="E638" s="1244">
        <f>SUM(D639:D641)</f>
        <v>232284.03</v>
      </c>
    </row>
    <row r="639" spans="1:5" ht="12.75">
      <c r="A639" s="1221"/>
      <c r="B639" s="1221">
        <v>30</v>
      </c>
      <c r="C639" s="1229" t="s">
        <v>1071</v>
      </c>
      <c r="D639" s="1223">
        <v>160984.03</v>
      </c>
      <c r="E639" s="1243" t="str">
        <f>IF(A639&gt;0,D639,"No")</f>
        <v>No</v>
      </c>
    </row>
    <row r="640" spans="1:5" ht="12.75">
      <c r="A640" s="1221"/>
      <c r="B640" s="1221">
        <v>40</v>
      </c>
      <c r="C640" s="1229" t="s">
        <v>1072</v>
      </c>
      <c r="D640" s="1223">
        <v>71300</v>
      </c>
      <c r="E640" s="1243" t="str">
        <f>IF(A640&gt;0,D640,"No")</f>
        <v>No</v>
      </c>
    </row>
    <row r="641" spans="1:5" ht="12.75">
      <c r="A641" s="1221"/>
      <c r="B641" s="1221">
        <v>50</v>
      </c>
      <c r="C641" s="1229" t="s">
        <v>162</v>
      </c>
      <c r="D641" s="1223">
        <v>0</v>
      </c>
      <c r="E641" s="1243" t="str">
        <f>IF(A641&gt;0,D641,"No")</f>
        <v>No</v>
      </c>
    </row>
    <row r="642" spans="1:5" ht="12.75">
      <c r="A642" s="1221">
        <v>517000</v>
      </c>
      <c r="B642" s="1221" t="s">
        <v>972</v>
      </c>
      <c r="C642" s="1222" t="s">
        <v>200</v>
      </c>
      <c r="D642" s="1223">
        <v>0</v>
      </c>
      <c r="E642" s="1244">
        <f>SUM(D643:D645)</f>
        <v>0</v>
      </c>
    </row>
    <row r="643" spans="1:5" ht="12.75">
      <c r="A643" s="1221"/>
      <c r="B643" s="1221">
        <v>30</v>
      </c>
      <c r="C643" s="1229" t="s">
        <v>1071</v>
      </c>
      <c r="D643" s="1223">
        <v>0</v>
      </c>
      <c r="E643" s="1243" t="str">
        <f>IF(A643&gt;0,D643,"No")</f>
        <v>No</v>
      </c>
    </row>
    <row r="644" spans="1:5" ht="12.75">
      <c r="A644" s="1221"/>
      <c r="B644" s="1221">
        <v>40</v>
      </c>
      <c r="C644" s="1229" t="s">
        <v>1072</v>
      </c>
      <c r="D644" s="1223">
        <v>0</v>
      </c>
      <c r="E644" s="1243" t="str">
        <f>IF(A644&gt;0,D644,"No")</f>
        <v>No</v>
      </c>
    </row>
    <row r="645" spans="1:5" ht="12.75">
      <c r="A645" s="1221"/>
      <c r="B645" s="1221">
        <v>50</v>
      </c>
      <c r="C645" s="1229" t="s">
        <v>162</v>
      </c>
      <c r="D645" s="1223">
        <v>0</v>
      </c>
      <c r="E645" s="1243" t="str">
        <f>IF(A645&gt;0,D645,"No")</f>
        <v>No</v>
      </c>
    </row>
    <row r="646" spans="1:5" ht="12.75">
      <c r="A646" s="1221">
        <v>519000</v>
      </c>
      <c r="B646" s="1221" t="s">
        <v>972</v>
      </c>
      <c r="C646" s="1222" t="s">
        <v>201</v>
      </c>
      <c r="D646" s="1223">
        <v>0</v>
      </c>
      <c r="E646" s="1244">
        <f>SUM(D647:D648)</f>
        <v>160000</v>
      </c>
    </row>
    <row r="647" spans="1:5" ht="12.75">
      <c r="A647" s="1221"/>
      <c r="B647" s="1221">
        <v>30</v>
      </c>
      <c r="C647" s="1229" t="s">
        <v>1071</v>
      </c>
      <c r="D647" s="1223">
        <v>160000</v>
      </c>
      <c r="E647" s="1243" t="str">
        <f>IF(A647&gt;0,D647,"No")</f>
        <v>No</v>
      </c>
    </row>
    <row r="648" spans="1:5" ht="12.75">
      <c r="A648" s="1221"/>
      <c r="B648" s="1221">
        <v>40</v>
      </c>
      <c r="C648" s="1229" t="s">
        <v>1072</v>
      </c>
      <c r="D648" s="1223">
        <v>0</v>
      </c>
      <c r="E648" s="1243" t="str">
        <f>IF(A648&gt;0,D648,"No")</f>
        <v>No</v>
      </c>
    </row>
    <row r="649" spans="1:5" ht="12.75">
      <c r="A649" s="1230">
        <v>520000</v>
      </c>
      <c r="B649" s="1230" t="s">
        <v>972</v>
      </c>
      <c r="C649" s="1231" t="s">
        <v>1007</v>
      </c>
      <c r="D649" s="1232">
        <v>-70778008.22</v>
      </c>
      <c r="E649" s="1243">
        <f>IF(A649&gt;0,D649,"No")</f>
        <v>-70778008.22</v>
      </c>
    </row>
    <row r="650" spans="1:5" ht="12.75">
      <c r="A650" s="1221">
        <v>524000</v>
      </c>
      <c r="B650" s="1221" t="s">
        <v>972</v>
      </c>
      <c r="C650" s="1222" t="s">
        <v>202</v>
      </c>
      <c r="D650" s="1223">
        <v>0</v>
      </c>
      <c r="E650" s="1244">
        <f>SUM(D651:D652)</f>
        <v>0</v>
      </c>
    </row>
    <row r="651" spans="1:5" ht="12.75">
      <c r="A651" s="1221"/>
      <c r="B651" s="1221">
        <v>30</v>
      </c>
      <c r="C651" s="1229" t="s">
        <v>1071</v>
      </c>
      <c r="D651" s="1223">
        <v>0</v>
      </c>
      <c r="E651" s="1243" t="str">
        <f>IF(A651&gt;0,D651,"No")</f>
        <v>No</v>
      </c>
    </row>
    <row r="652" spans="1:5" ht="12.75">
      <c r="A652" s="1221"/>
      <c r="B652" s="1221">
        <v>40</v>
      </c>
      <c r="C652" s="1229" t="s">
        <v>1072</v>
      </c>
      <c r="D652" s="1223">
        <v>0</v>
      </c>
      <c r="E652" s="1243" t="str">
        <f>IF(A652&gt;0,D652,"No")</f>
        <v>No</v>
      </c>
    </row>
    <row r="653" spans="1:5" ht="12.75">
      <c r="A653" s="1221">
        <v>525000</v>
      </c>
      <c r="B653" s="1221" t="s">
        <v>972</v>
      </c>
      <c r="C653" s="1222" t="s">
        <v>203</v>
      </c>
      <c r="D653" s="1223">
        <v>0</v>
      </c>
      <c r="E653" s="1244">
        <f>SUM(D654:D668)</f>
        <v>5190209.75</v>
      </c>
    </row>
    <row r="654" spans="1:5" ht="12.75">
      <c r="A654" s="1221"/>
      <c r="B654" s="1225">
        <v>2</v>
      </c>
      <c r="C654" s="1241" t="s">
        <v>213</v>
      </c>
      <c r="D654" s="1223">
        <v>0</v>
      </c>
      <c r="E654" s="1243" t="str">
        <f aca="true" t="shared" si="16" ref="E654:E668">IF(A654&gt;0,D654,"No")</f>
        <v>No</v>
      </c>
    </row>
    <row r="655" spans="1:5" ht="12.75">
      <c r="A655" s="1221"/>
      <c r="B655" s="1221">
        <v>3</v>
      </c>
      <c r="C655" s="1229" t="s">
        <v>1156</v>
      </c>
      <c r="D655" s="1223">
        <v>0</v>
      </c>
      <c r="E655" s="1243" t="str">
        <f t="shared" si="16"/>
        <v>No</v>
      </c>
    </row>
    <row r="656" spans="1:5" ht="12.75">
      <c r="A656" s="1221"/>
      <c r="B656" s="1221">
        <v>4</v>
      </c>
      <c r="C656" s="1229" t="s">
        <v>1157</v>
      </c>
      <c r="D656" s="1223">
        <v>1859126.25</v>
      </c>
      <c r="E656" s="1243" t="str">
        <f t="shared" si="16"/>
        <v>No</v>
      </c>
    </row>
    <row r="657" spans="1:5" ht="12.75">
      <c r="A657" s="1221"/>
      <c r="B657" s="1221">
        <v>5</v>
      </c>
      <c r="C657" s="1229" t="s">
        <v>204</v>
      </c>
      <c r="D657" s="1223">
        <v>565016.5</v>
      </c>
      <c r="E657" s="1243" t="str">
        <f t="shared" si="16"/>
        <v>No</v>
      </c>
    </row>
    <row r="658" spans="1:5" ht="12.75">
      <c r="A658" s="1221"/>
      <c r="B658" s="1221">
        <v>6</v>
      </c>
      <c r="C658" s="1229" t="s">
        <v>1159</v>
      </c>
      <c r="D658" s="1223">
        <v>532348</v>
      </c>
      <c r="E658" s="1243" t="str">
        <f t="shared" si="16"/>
        <v>No</v>
      </c>
    </row>
    <row r="659" spans="1:5" ht="12.75">
      <c r="A659" s="1221"/>
      <c r="B659" s="1221">
        <v>7</v>
      </c>
      <c r="C659" s="1229" t="s">
        <v>1160</v>
      </c>
      <c r="D659" s="1223">
        <v>409059</v>
      </c>
      <c r="E659" s="1243" t="str">
        <f t="shared" si="16"/>
        <v>No</v>
      </c>
    </row>
    <row r="660" spans="1:5" ht="12.75">
      <c r="A660" s="1221"/>
      <c r="B660" s="1221">
        <v>9</v>
      </c>
      <c r="C660" s="1229" t="s">
        <v>1161</v>
      </c>
      <c r="D660" s="1223">
        <v>0</v>
      </c>
      <c r="E660" s="1243" t="str">
        <f t="shared" si="16"/>
        <v>No</v>
      </c>
    </row>
    <row r="661" spans="1:5" ht="12.75">
      <c r="A661" s="1221"/>
      <c r="B661" s="1221">
        <v>10</v>
      </c>
      <c r="C661" s="1229" t="s">
        <v>1162</v>
      </c>
      <c r="D661" s="1223">
        <v>557328.75</v>
      </c>
      <c r="E661" s="1243" t="str">
        <f t="shared" si="16"/>
        <v>No</v>
      </c>
    </row>
    <row r="662" spans="1:5" ht="12.75">
      <c r="A662" s="1221"/>
      <c r="B662" s="1221">
        <v>11</v>
      </c>
      <c r="C662" s="1229" t="s">
        <v>1163</v>
      </c>
      <c r="D662" s="1223">
        <v>0</v>
      </c>
      <c r="E662" s="1243" t="str">
        <f t="shared" si="16"/>
        <v>No</v>
      </c>
    </row>
    <row r="663" spans="1:5" ht="12.75">
      <c r="A663" s="1221"/>
      <c r="B663" s="1221">
        <v>12</v>
      </c>
      <c r="C663" s="1229" t="s">
        <v>1164</v>
      </c>
      <c r="D663" s="1223">
        <v>0</v>
      </c>
      <c r="E663" s="1243" t="str">
        <f t="shared" si="16"/>
        <v>No</v>
      </c>
    </row>
    <row r="664" spans="1:5" ht="12.75">
      <c r="A664" s="1221"/>
      <c r="B664" s="1221">
        <v>14</v>
      </c>
      <c r="C664" s="1229" t="s">
        <v>205</v>
      </c>
      <c r="D664" s="1223">
        <v>1049135.17</v>
      </c>
      <c r="E664" s="1243" t="str">
        <f t="shared" si="16"/>
        <v>No</v>
      </c>
    </row>
    <row r="665" spans="1:5" ht="12.75">
      <c r="A665" s="1221"/>
      <c r="B665" s="1221">
        <v>15</v>
      </c>
      <c r="C665" s="1229" t="s">
        <v>206</v>
      </c>
      <c r="D665" s="1223">
        <v>0</v>
      </c>
      <c r="E665" s="1243" t="str">
        <f t="shared" si="16"/>
        <v>No</v>
      </c>
    </row>
    <row r="666" spans="1:5" ht="12.75">
      <c r="A666" s="1221"/>
      <c r="B666" s="1221">
        <v>16</v>
      </c>
      <c r="C666" s="1229" t="s">
        <v>1167</v>
      </c>
      <c r="D666" s="1223">
        <v>0</v>
      </c>
      <c r="E666" s="1243" t="str">
        <f t="shared" si="16"/>
        <v>No</v>
      </c>
    </row>
    <row r="667" spans="1:5" ht="12.75">
      <c r="A667" s="1221"/>
      <c r="B667" s="1221">
        <v>32</v>
      </c>
      <c r="C667" s="1229" t="s">
        <v>1169</v>
      </c>
      <c r="D667" s="1223">
        <v>0</v>
      </c>
      <c r="E667" s="1243" t="str">
        <f t="shared" si="16"/>
        <v>No</v>
      </c>
    </row>
    <row r="668" spans="1:5" ht="12.75">
      <c r="A668" s="1221"/>
      <c r="B668" s="1221">
        <v>41</v>
      </c>
      <c r="C668" s="1229" t="s">
        <v>207</v>
      </c>
      <c r="D668" s="1223">
        <v>218196.08</v>
      </c>
      <c r="E668" s="1243" t="str">
        <f t="shared" si="16"/>
        <v>No</v>
      </c>
    </row>
    <row r="669" spans="1:5" ht="12.75">
      <c r="A669" s="1221">
        <v>525001</v>
      </c>
      <c r="B669" s="1221" t="s">
        <v>972</v>
      </c>
      <c r="C669" s="1222" t="s">
        <v>208</v>
      </c>
      <c r="D669" s="1223">
        <v>0</v>
      </c>
      <c r="E669" s="1244">
        <f>SUM(D670:D677)</f>
        <v>1224445.3800000001</v>
      </c>
    </row>
    <row r="670" spans="1:5" ht="12.75">
      <c r="A670" s="1221"/>
      <c r="B670" s="1221">
        <v>3</v>
      </c>
      <c r="C670" s="1229" t="s">
        <v>1156</v>
      </c>
      <c r="D670" s="1223">
        <v>150012.12</v>
      </c>
      <c r="E670" s="1243" t="str">
        <f aca="true" t="shared" si="17" ref="E670:E677">IF(A670&gt;0,D670,"No")</f>
        <v>No</v>
      </c>
    </row>
    <row r="671" spans="1:5" ht="12.75">
      <c r="A671" s="1249"/>
      <c r="B671" s="1249">
        <v>4</v>
      </c>
      <c r="C671" s="1250" t="s">
        <v>1157</v>
      </c>
      <c r="D671" s="1251">
        <v>350601.26</v>
      </c>
      <c r="E671" s="1243" t="str">
        <f t="shared" si="17"/>
        <v>No</v>
      </c>
    </row>
    <row r="672" spans="1:5" ht="12.75">
      <c r="A672" s="1249"/>
      <c r="B672" s="1249">
        <v>5</v>
      </c>
      <c r="C672" s="1250" t="s">
        <v>204</v>
      </c>
      <c r="D672" s="1251">
        <v>375991.5</v>
      </c>
      <c r="E672" s="1243" t="str">
        <f t="shared" si="17"/>
        <v>No</v>
      </c>
    </row>
    <row r="673" spans="1:5" ht="12.75">
      <c r="A673" s="1221"/>
      <c r="B673" s="1221">
        <v>10</v>
      </c>
      <c r="C673" s="1229" t="s">
        <v>1162</v>
      </c>
      <c r="D673" s="1223">
        <v>0</v>
      </c>
      <c r="E673" s="1243" t="str">
        <f t="shared" si="17"/>
        <v>No</v>
      </c>
    </row>
    <row r="674" spans="1:5" ht="12.75">
      <c r="A674" s="1221"/>
      <c r="B674" s="1221">
        <v>11</v>
      </c>
      <c r="C674" s="1229" t="s">
        <v>1163</v>
      </c>
      <c r="D674" s="1223">
        <v>0</v>
      </c>
      <c r="E674" s="1243" t="str">
        <f t="shared" si="17"/>
        <v>No</v>
      </c>
    </row>
    <row r="675" spans="1:5" ht="12.75">
      <c r="A675" s="1221"/>
      <c r="B675" s="1221">
        <v>14</v>
      </c>
      <c r="C675" s="1229" t="s">
        <v>205</v>
      </c>
      <c r="D675" s="1223">
        <v>287952.89</v>
      </c>
      <c r="E675" s="1243" t="str">
        <f t="shared" si="17"/>
        <v>No</v>
      </c>
    </row>
    <row r="676" spans="1:5" ht="12.75">
      <c r="A676" s="1221"/>
      <c r="B676" s="1221">
        <v>15</v>
      </c>
      <c r="C676" s="1229" t="s">
        <v>206</v>
      </c>
      <c r="D676" s="1223">
        <v>0</v>
      </c>
      <c r="E676" s="1243" t="str">
        <f t="shared" si="17"/>
        <v>No</v>
      </c>
    </row>
    <row r="677" spans="1:5" ht="12.75">
      <c r="A677" s="1221"/>
      <c r="B677" s="1221">
        <v>41</v>
      </c>
      <c r="C677" s="1229" t="s">
        <v>207</v>
      </c>
      <c r="D677" s="1223">
        <v>59887.61</v>
      </c>
      <c r="E677" s="1243" t="str">
        <f t="shared" si="17"/>
        <v>No</v>
      </c>
    </row>
    <row r="678" spans="1:5" ht="12.75">
      <c r="A678" s="1225">
        <v>525120</v>
      </c>
      <c r="B678" s="1225" t="s">
        <v>972</v>
      </c>
      <c r="C678" s="1226" t="s">
        <v>209</v>
      </c>
      <c r="D678" s="1223">
        <v>0</v>
      </c>
      <c r="E678" s="1244">
        <f>SUM(D679:D688)</f>
        <v>1838017</v>
      </c>
    </row>
    <row r="679" spans="1:5" ht="12.75">
      <c r="A679" s="1225"/>
      <c r="B679" s="1225">
        <v>2</v>
      </c>
      <c r="C679" s="1241" t="s">
        <v>213</v>
      </c>
      <c r="D679" s="1223">
        <v>0</v>
      </c>
      <c r="E679" s="1243" t="str">
        <f aca="true" t="shared" si="18" ref="E679:E688">IF(A679&gt;0,D679,"No")</f>
        <v>No</v>
      </c>
    </row>
    <row r="680" spans="1:5" ht="12.75">
      <c r="A680" s="1221"/>
      <c r="B680" s="1221">
        <v>3</v>
      </c>
      <c r="C680" s="1229" t="s">
        <v>1156</v>
      </c>
      <c r="D680" s="1223">
        <v>0</v>
      </c>
      <c r="E680" s="1243" t="str">
        <f t="shared" si="18"/>
        <v>No</v>
      </c>
    </row>
    <row r="681" spans="1:5" ht="12.75">
      <c r="A681" s="1221"/>
      <c r="B681" s="1221">
        <v>4</v>
      </c>
      <c r="C681" s="1229" t="s">
        <v>1157</v>
      </c>
      <c r="D681" s="1223">
        <v>759031.5</v>
      </c>
      <c r="E681" s="1243" t="str">
        <f t="shared" si="18"/>
        <v>No</v>
      </c>
    </row>
    <row r="682" spans="1:5" ht="12.75">
      <c r="A682" s="1221"/>
      <c r="B682" s="1221">
        <v>5</v>
      </c>
      <c r="C682" s="1229" t="s">
        <v>204</v>
      </c>
      <c r="D682" s="1223">
        <v>247121</v>
      </c>
      <c r="E682" s="1243" t="str">
        <f t="shared" si="18"/>
        <v>No</v>
      </c>
    </row>
    <row r="683" spans="1:5" ht="12.75">
      <c r="A683" s="1221"/>
      <c r="B683" s="1221">
        <v>6</v>
      </c>
      <c r="C683" s="1229" t="s">
        <v>1159</v>
      </c>
      <c r="D683" s="1223">
        <v>209380.25</v>
      </c>
      <c r="E683" s="1243" t="str">
        <f t="shared" si="18"/>
        <v>No</v>
      </c>
    </row>
    <row r="684" spans="1:5" ht="12.75">
      <c r="A684" s="1221"/>
      <c r="B684" s="1221">
        <v>7</v>
      </c>
      <c r="C684" s="1229" t="s">
        <v>1160</v>
      </c>
      <c r="D684" s="1223">
        <v>76742.75</v>
      </c>
      <c r="E684" s="1243" t="str">
        <f t="shared" si="18"/>
        <v>No</v>
      </c>
    </row>
    <row r="685" spans="1:5" ht="12.75">
      <c r="A685" s="1221"/>
      <c r="B685" s="1221">
        <v>10</v>
      </c>
      <c r="C685" s="1229" t="s">
        <v>1162</v>
      </c>
      <c r="D685" s="1223">
        <v>102221.75</v>
      </c>
      <c r="E685" s="1243" t="str">
        <f t="shared" si="18"/>
        <v>No</v>
      </c>
    </row>
    <row r="686" spans="1:5" ht="12.75">
      <c r="A686" s="1221"/>
      <c r="B686" s="1221">
        <v>11</v>
      </c>
      <c r="C686" s="1229" t="s">
        <v>1163</v>
      </c>
      <c r="D686" s="1223">
        <v>0</v>
      </c>
      <c r="E686" s="1243" t="str">
        <f t="shared" si="18"/>
        <v>No</v>
      </c>
    </row>
    <row r="687" spans="1:5" ht="12.75">
      <c r="A687" s="1221"/>
      <c r="B687" s="1221">
        <v>14</v>
      </c>
      <c r="C687" s="1229" t="s">
        <v>205</v>
      </c>
      <c r="D687" s="1223">
        <v>367159.07</v>
      </c>
      <c r="E687" s="1243" t="str">
        <f t="shared" si="18"/>
        <v>No</v>
      </c>
    </row>
    <row r="688" spans="1:5" ht="12.75">
      <c r="A688" s="1221"/>
      <c r="B688" s="1221">
        <v>41</v>
      </c>
      <c r="C688" s="1229" t="s">
        <v>207</v>
      </c>
      <c r="D688" s="1223">
        <v>76360.68</v>
      </c>
      <c r="E688" s="1243" t="str">
        <f t="shared" si="18"/>
        <v>No</v>
      </c>
    </row>
    <row r="689" spans="1:5" ht="12.75">
      <c r="A689" s="1225">
        <v>525121</v>
      </c>
      <c r="B689" s="1225" t="s">
        <v>972</v>
      </c>
      <c r="C689" s="1226" t="s">
        <v>740</v>
      </c>
      <c r="D689" s="1223">
        <v>0</v>
      </c>
      <c r="E689" s="1244">
        <f>SUM(D690:D695)</f>
        <v>424259.13</v>
      </c>
    </row>
    <row r="690" spans="1:5" ht="12.75">
      <c r="A690" s="1225"/>
      <c r="B690" s="1221">
        <v>3</v>
      </c>
      <c r="C690" s="1229" t="s">
        <v>1156</v>
      </c>
      <c r="D690" s="1223">
        <v>56681.72</v>
      </c>
      <c r="E690" s="1243" t="str">
        <f aca="true" t="shared" si="19" ref="E690:E696">IF(A690&gt;0,D690,"No")</f>
        <v>No</v>
      </c>
    </row>
    <row r="691" spans="1:5" ht="12.75">
      <c r="A691" s="1221"/>
      <c r="B691" s="1221">
        <v>4</v>
      </c>
      <c r="C691" s="1229" t="s">
        <v>1157</v>
      </c>
      <c r="D691" s="1223">
        <v>158871.65</v>
      </c>
      <c r="E691" s="1243" t="str">
        <f t="shared" si="19"/>
        <v>No</v>
      </c>
    </row>
    <row r="692" spans="1:5" ht="12.75">
      <c r="A692" s="1221"/>
      <c r="B692" s="1221">
        <v>5</v>
      </c>
      <c r="C692" s="1229" t="s">
        <v>204</v>
      </c>
      <c r="D692" s="1223">
        <v>161884.94</v>
      </c>
      <c r="E692" s="1243" t="str">
        <f t="shared" si="19"/>
        <v>No</v>
      </c>
    </row>
    <row r="693" spans="1:5" ht="12.75">
      <c r="A693" s="1221"/>
      <c r="B693" s="1225">
        <v>10</v>
      </c>
      <c r="C693" s="1241" t="s">
        <v>1162</v>
      </c>
      <c r="D693" s="1223">
        <v>0</v>
      </c>
      <c r="E693" s="1243" t="str">
        <f t="shared" si="19"/>
        <v>No</v>
      </c>
    </row>
    <row r="694" spans="1:5" ht="12.75">
      <c r="A694" s="1221"/>
      <c r="B694" s="1221">
        <v>14</v>
      </c>
      <c r="C694" s="1229" t="s">
        <v>205</v>
      </c>
      <c r="D694" s="1223">
        <v>38759.69</v>
      </c>
      <c r="E694" s="1243" t="str">
        <f t="shared" si="19"/>
        <v>No</v>
      </c>
    </row>
    <row r="695" spans="1:5" ht="12.75">
      <c r="A695" s="1221"/>
      <c r="B695" s="1221">
        <v>41</v>
      </c>
      <c r="C695" s="1229" t="s">
        <v>207</v>
      </c>
      <c r="D695" s="1223">
        <v>8061.13</v>
      </c>
      <c r="E695" s="1243" t="str">
        <f t="shared" si="19"/>
        <v>No</v>
      </c>
    </row>
    <row r="696" spans="1:5" ht="12.75">
      <c r="A696" s="1221">
        <v>530000</v>
      </c>
      <c r="B696" s="1221" t="s">
        <v>972</v>
      </c>
      <c r="C696" s="1222" t="s">
        <v>210</v>
      </c>
      <c r="D696" s="1223">
        <v>0</v>
      </c>
      <c r="E696" s="1243">
        <f t="shared" si="19"/>
        <v>0</v>
      </c>
    </row>
    <row r="697" spans="1:5" ht="12.75">
      <c r="A697" s="1225">
        <v>530110</v>
      </c>
      <c r="B697" s="1225" t="s">
        <v>972</v>
      </c>
      <c r="C697" s="1226" t="s">
        <v>211</v>
      </c>
      <c r="D697" s="1223">
        <v>0</v>
      </c>
      <c r="E697" s="1244">
        <f>SUM(D698:D725)</f>
        <v>2952072.25</v>
      </c>
    </row>
    <row r="698" spans="1:5" ht="12.75">
      <c r="A698" s="1225"/>
      <c r="B698" s="1225">
        <v>1</v>
      </c>
      <c r="C698" s="1241" t="s">
        <v>212</v>
      </c>
      <c r="D698" s="1227">
        <v>182133</v>
      </c>
      <c r="E698" s="1243" t="str">
        <f aca="true" t="shared" si="20" ref="E698:E725">IF(A698&gt;0,D698,"No")</f>
        <v>No</v>
      </c>
    </row>
    <row r="699" spans="1:5" ht="12.75">
      <c r="A699" s="1225"/>
      <c r="B699" s="1225">
        <v>2</v>
      </c>
      <c r="C699" s="1241" t="s">
        <v>213</v>
      </c>
      <c r="D699" s="1227">
        <v>495038</v>
      </c>
      <c r="E699" s="1243" t="str">
        <f t="shared" si="20"/>
        <v>No</v>
      </c>
    </row>
    <row r="700" spans="1:5" ht="12.75">
      <c r="A700" s="1225"/>
      <c r="B700" s="1225">
        <v>3</v>
      </c>
      <c r="C700" s="1241" t="s">
        <v>1156</v>
      </c>
      <c r="D700" s="1227">
        <v>0</v>
      </c>
      <c r="E700" s="1243" t="str">
        <f t="shared" si="20"/>
        <v>No</v>
      </c>
    </row>
    <row r="701" spans="1:5" ht="12.75">
      <c r="A701" s="1225"/>
      <c r="B701" s="1225">
        <v>4</v>
      </c>
      <c r="C701" s="1241" t="s">
        <v>1157</v>
      </c>
      <c r="D701" s="1227">
        <v>0</v>
      </c>
      <c r="E701" s="1243" t="str">
        <f t="shared" si="20"/>
        <v>No</v>
      </c>
    </row>
    <row r="702" spans="1:5" ht="12.75">
      <c r="A702" s="1225"/>
      <c r="B702" s="1225">
        <v>5</v>
      </c>
      <c r="C702" s="1241" t="s">
        <v>204</v>
      </c>
      <c r="D702" s="1227">
        <v>0</v>
      </c>
      <c r="E702" s="1243" t="str">
        <f t="shared" si="20"/>
        <v>No</v>
      </c>
    </row>
    <row r="703" spans="1:5" ht="12.75">
      <c r="A703" s="1225"/>
      <c r="B703" s="1225">
        <v>6</v>
      </c>
      <c r="C703" s="1241" t="s">
        <v>1159</v>
      </c>
      <c r="D703" s="1227">
        <v>0</v>
      </c>
      <c r="E703" s="1243" t="str">
        <f t="shared" si="20"/>
        <v>No</v>
      </c>
    </row>
    <row r="704" spans="1:5" ht="12.75">
      <c r="A704" s="1225"/>
      <c r="B704" s="1225">
        <v>7</v>
      </c>
      <c r="C704" s="1241" t="s">
        <v>1160</v>
      </c>
      <c r="D704" s="1227">
        <v>0</v>
      </c>
      <c r="E704" s="1243" t="str">
        <f t="shared" si="20"/>
        <v>No</v>
      </c>
    </row>
    <row r="705" spans="1:5" ht="12.75">
      <c r="A705" s="1225"/>
      <c r="B705" s="1225">
        <v>8</v>
      </c>
      <c r="C705" s="1241" t="s">
        <v>1181</v>
      </c>
      <c r="D705" s="1227">
        <v>0</v>
      </c>
      <c r="E705" s="1243" t="str">
        <f t="shared" si="20"/>
        <v>No</v>
      </c>
    </row>
    <row r="706" spans="1:5" ht="12.75">
      <c r="A706" s="1225"/>
      <c r="B706" s="1225">
        <v>9</v>
      </c>
      <c r="C706" s="1241" t="s">
        <v>1161</v>
      </c>
      <c r="D706" s="1227">
        <v>0</v>
      </c>
      <c r="E706" s="1243" t="str">
        <f t="shared" si="20"/>
        <v>No</v>
      </c>
    </row>
    <row r="707" spans="1:5" ht="12.75">
      <c r="A707" s="1225"/>
      <c r="B707" s="1225">
        <v>10</v>
      </c>
      <c r="C707" s="1241" t="s">
        <v>1162</v>
      </c>
      <c r="D707" s="1227">
        <v>0</v>
      </c>
      <c r="E707" s="1243" t="str">
        <f t="shared" si="20"/>
        <v>No</v>
      </c>
    </row>
    <row r="708" spans="1:5" ht="12.75">
      <c r="A708" s="1225"/>
      <c r="B708" s="1225">
        <v>11</v>
      </c>
      <c r="C708" s="1241" t="s">
        <v>1163</v>
      </c>
      <c r="D708" s="1227">
        <v>0</v>
      </c>
      <c r="E708" s="1243" t="str">
        <f t="shared" si="20"/>
        <v>No</v>
      </c>
    </row>
    <row r="709" spans="1:5" ht="12.75">
      <c r="A709" s="1225"/>
      <c r="B709" s="1225">
        <v>12</v>
      </c>
      <c r="C709" s="1241" t="s">
        <v>1164</v>
      </c>
      <c r="D709" s="1227">
        <v>0</v>
      </c>
      <c r="E709" s="1243" t="str">
        <f t="shared" si="20"/>
        <v>No</v>
      </c>
    </row>
    <row r="710" spans="1:5" ht="12.75">
      <c r="A710" s="1225"/>
      <c r="B710" s="1225">
        <v>13</v>
      </c>
      <c r="C710" s="1241" t="s">
        <v>214</v>
      </c>
      <c r="D710" s="1227">
        <v>576226.83</v>
      </c>
      <c r="E710" s="1243" t="str">
        <f t="shared" si="20"/>
        <v>No</v>
      </c>
    </row>
    <row r="711" spans="1:5" ht="12.75">
      <c r="A711" s="1225"/>
      <c r="B711" s="1225">
        <v>14</v>
      </c>
      <c r="C711" s="1241" t="s">
        <v>205</v>
      </c>
      <c r="D711" s="1227">
        <v>215263.69</v>
      </c>
      <c r="E711" s="1243" t="str">
        <f t="shared" si="20"/>
        <v>No</v>
      </c>
    </row>
    <row r="712" spans="1:5" ht="12.75">
      <c r="A712" s="1225"/>
      <c r="B712" s="1225">
        <v>15</v>
      </c>
      <c r="C712" s="1241" t="s">
        <v>206</v>
      </c>
      <c r="D712" s="1227">
        <v>0</v>
      </c>
      <c r="E712" s="1243" t="str">
        <f t="shared" si="20"/>
        <v>No</v>
      </c>
    </row>
    <row r="713" spans="1:5" ht="12.75">
      <c r="A713" s="1225"/>
      <c r="B713" s="1225">
        <v>16</v>
      </c>
      <c r="C713" s="1241" t="s">
        <v>1167</v>
      </c>
      <c r="D713" s="1227">
        <v>0</v>
      </c>
      <c r="E713" s="1243" t="str">
        <f t="shared" si="20"/>
        <v>No</v>
      </c>
    </row>
    <row r="714" spans="1:5" ht="12.75">
      <c r="A714" s="1225"/>
      <c r="B714" s="1225">
        <v>17</v>
      </c>
      <c r="C714" s="1241" t="s">
        <v>1168</v>
      </c>
      <c r="D714" s="1227">
        <v>434290.75</v>
      </c>
      <c r="E714" s="1243" t="str">
        <f t="shared" si="20"/>
        <v>No</v>
      </c>
    </row>
    <row r="715" spans="1:5" ht="12.75">
      <c r="A715" s="1225"/>
      <c r="B715" s="1225">
        <v>18</v>
      </c>
      <c r="C715" s="1241" t="s">
        <v>1172</v>
      </c>
      <c r="D715" s="1227">
        <v>104794.65</v>
      </c>
      <c r="E715" s="1243" t="str">
        <f t="shared" si="20"/>
        <v>No</v>
      </c>
    </row>
    <row r="716" spans="1:5" ht="12.75">
      <c r="A716" s="1225"/>
      <c r="B716" s="1225">
        <v>19</v>
      </c>
      <c r="C716" s="1241" t="s">
        <v>215</v>
      </c>
      <c r="D716" s="1227">
        <v>217461</v>
      </c>
      <c r="E716" s="1243" t="str">
        <f t="shared" si="20"/>
        <v>No</v>
      </c>
    </row>
    <row r="717" spans="1:5" ht="12.75">
      <c r="A717" s="1225"/>
      <c r="B717" s="1225">
        <v>20</v>
      </c>
      <c r="C717" s="1241" t="s">
        <v>216</v>
      </c>
      <c r="D717" s="1227">
        <v>145759.7</v>
      </c>
      <c r="E717" s="1243" t="str">
        <f t="shared" si="20"/>
        <v>No</v>
      </c>
    </row>
    <row r="718" spans="1:5" ht="12.75">
      <c r="A718" s="1225"/>
      <c r="B718" s="1225">
        <v>21</v>
      </c>
      <c r="C718" s="1241" t="s">
        <v>217</v>
      </c>
      <c r="D718" s="1227">
        <v>153918</v>
      </c>
      <c r="E718" s="1243" t="str">
        <f t="shared" si="20"/>
        <v>No</v>
      </c>
    </row>
    <row r="719" spans="1:5" ht="12.75">
      <c r="A719" s="1225"/>
      <c r="B719" s="1225">
        <v>22</v>
      </c>
      <c r="C719" s="1241" t="s">
        <v>218</v>
      </c>
      <c r="D719" s="1227">
        <v>0</v>
      </c>
      <c r="E719" s="1243" t="str">
        <f t="shared" si="20"/>
        <v>No</v>
      </c>
    </row>
    <row r="720" spans="1:5" ht="12.75">
      <c r="A720" s="1225"/>
      <c r="B720" s="1225">
        <v>23</v>
      </c>
      <c r="C720" s="1241" t="s">
        <v>219</v>
      </c>
      <c r="D720" s="1227">
        <v>0</v>
      </c>
      <c r="E720" s="1243" t="str">
        <f t="shared" si="20"/>
        <v>No</v>
      </c>
    </row>
    <row r="721" spans="1:5" ht="12.75">
      <c r="A721" s="1225"/>
      <c r="B721" s="1225">
        <v>24</v>
      </c>
      <c r="C721" s="1241" t="s">
        <v>220</v>
      </c>
      <c r="D721" s="1227">
        <v>0</v>
      </c>
      <c r="E721" s="1243" t="str">
        <f t="shared" si="20"/>
        <v>No</v>
      </c>
    </row>
    <row r="722" spans="1:5" ht="12.75">
      <c r="A722" s="1225"/>
      <c r="B722" s="1225">
        <v>32</v>
      </c>
      <c r="C722" s="1241" t="s">
        <v>1169</v>
      </c>
      <c r="D722" s="1227">
        <v>0</v>
      </c>
      <c r="E722" s="1243" t="str">
        <f t="shared" si="20"/>
        <v>No</v>
      </c>
    </row>
    <row r="723" spans="1:5" ht="12.75">
      <c r="A723" s="1225"/>
      <c r="B723" s="1225">
        <v>39</v>
      </c>
      <c r="C723" s="1241" t="s">
        <v>1170</v>
      </c>
      <c r="D723" s="1227">
        <v>131797.5</v>
      </c>
      <c r="E723" s="1243" t="str">
        <f t="shared" si="20"/>
        <v>No</v>
      </c>
    </row>
    <row r="724" spans="1:5" ht="12.75">
      <c r="A724" s="1225"/>
      <c r="B724" s="1225">
        <v>41</v>
      </c>
      <c r="C724" s="1241" t="s">
        <v>207</v>
      </c>
      <c r="D724" s="1227">
        <v>220406.63</v>
      </c>
      <c r="E724" s="1243" t="str">
        <f t="shared" si="20"/>
        <v>No</v>
      </c>
    </row>
    <row r="725" spans="1:5" ht="12.75">
      <c r="A725" s="1225"/>
      <c r="B725" s="1225">
        <v>42</v>
      </c>
      <c r="C725" s="1241" t="s">
        <v>221</v>
      </c>
      <c r="D725" s="1227">
        <v>74982.5</v>
      </c>
      <c r="E725" s="1243" t="str">
        <f t="shared" si="20"/>
        <v>No</v>
      </c>
    </row>
    <row r="726" spans="1:5" ht="12.75">
      <c r="A726" s="1225">
        <v>530111</v>
      </c>
      <c r="B726" s="1225" t="s">
        <v>972</v>
      </c>
      <c r="C726" s="1226" t="s">
        <v>222</v>
      </c>
      <c r="D726" s="1227">
        <v>0</v>
      </c>
      <c r="E726" s="1244">
        <f>SUM(D727:D734)</f>
        <v>231746.51</v>
      </c>
    </row>
    <row r="727" spans="1:5" ht="12.75">
      <c r="A727" s="1225"/>
      <c r="B727" s="1225">
        <v>13</v>
      </c>
      <c r="C727" s="1241" t="s">
        <v>214</v>
      </c>
      <c r="D727" s="1227">
        <v>0</v>
      </c>
      <c r="E727" s="1243" t="str">
        <f aca="true" t="shared" si="21" ref="E727:E734">IF(A727&gt;0,D727,"No")</f>
        <v>No</v>
      </c>
    </row>
    <row r="728" spans="1:5" ht="12.75">
      <c r="A728" s="1225"/>
      <c r="B728" s="1225">
        <v>17</v>
      </c>
      <c r="C728" s="1241" t="s">
        <v>1168</v>
      </c>
      <c r="D728" s="1227">
        <v>0</v>
      </c>
      <c r="E728" s="1243" t="str">
        <f t="shared" si="21"/>
        <v>No</v>
      </c>
    </row>
    <row r="729" spans="1:5" ht="12.75">
      <c r="A729" s="1225"/>
      <c r="B729" s="1225">
        <v>19</v>
      </c>
      <c r="C729" s="1241" t="s">
        <v>215</v>
      </c>
      <c r="D729" s="1227">
        <v>38486.38</v>
      </c>
      <c r="E729" s="1243" t="str">
        <f t="shared" si="21"/>
        <v>No</v>
      </c>
    </row>
    <row r="730" spans="1:5" ht="12.75">
      <c r="A730" s="1225"/>
      <c r="B730" s="1225">
        <v>20</v>
      </c>
      <c r="C730" s="1241" t="s">
        <v>216</v>
      </c>
      <c r="D730" s="1227">
        <v>0</v>
      </c>
      <c r="E730" s="1243" t="str">
        <f t="shared" si="21"/>
        <v>No</v>
      </c>
    </row>
    <row r="731" spans="1:5" ht="12.75">
      <c r="A731" s="1225"/>
      <c r="B731" s="1225">
        <v>20</v>
      </c>
      <c r="C731" s="1241" t="s">
        <v>846</v>
      </c>
      <c r="D731" s="1227">
        <v>33794</v>
      </c>
      <c r="E731" s="1243" t="str">
        <f t="shared" si="21"/>
        <v>No</v>
      </c>
    </row>
    <row r="732" spans="1:5" ht="12.75">
      <c r="A732" s="1225"/>
      <c r="B732" s="1225">
        <v>39</v>
      </c>
      <c r="C732" s="1241" t="s">
        <v>1170</v>
      </c>
      <c r="D732" s="1227">
        <v>64818</v>
      </c>
      <c r="E732" s="1243" t="str">
        <f t="shared" si="21"/>
        <v>No</v>
      </c>
    </row>
    <row r="733" spans="1:5" ht="12.75">
      <c r="A733" s="1225"/>
      <c r="B733" s="1225">
        <v>41</v>
      </c>
      <c r="C733" s="1241" t="s">
        <v>207</v>
      </c>
      <c r="D733" s="1227">
        <v>0</v>
      </c>
      <c r="E733" s="1243" t="str">
        <f t="shared" si="21"/>
        <v>No</v>
      </c>
    </row>
    <row r="734" spans="1:5" ht="12.75">
      <c r="A734" s="1225"/>
      <c r="B734" s="1225">
        <v>42</v>
      </c>
      <c r="C734" s="1241" t="s">
        <v>221</v>
      </c>
      <c r="D734" s="1227">
        <v>94648.13</v>
      </c>
      <c r="E734" s="1243" t="str">
        <f t="shared" si="21"/>
        <v>No</v>
      </c>
    </row>
    <row r="735" spans="1:5" ht="12.75">
      <c r="A735" s="1225">
        <v>530120</v>
      </c>
      <c r="B735" s="1225" t="s">
        <v>972</v>
      </c>
      <c r="C735" s="1226" t="s">
        <v>223</v>
      </c>
      <c r="D735" s="1227">
        <v>0</v>
      </c>
      <c r="E735" s="1244">
        <f>SUM(D736:D763)</f>
        <v>467809.25</v>
      </c>
    </row>
    <row r="736" spans="1:5" ht="12.75">
      <c r="A736" s="1225"/>
      <c r="B736" s="1225">
        <v>1</v>
      </c>
      <c r="C736" s="1241" t="s">
        <v>212</v>
      </c>
      <c r="D736" s="1227">
        <v>0</v>
      </c>
      <c r="E736" s="1243" t="str">
        <f aca="true" t="shared" si="22" ref="E736:E763">IF(A736&gt;0,D736,"No")</f>
        <v>No</v>
      </c>
    </row>
    <row r="737" spans="1:5" ht="12.75">
      <c r="A737" s="1225"/>
      <c r="B737" s="1225">
        <v>2</v>
      </c>
      <c r="C737" s="1241" t="s">
        <v>213</v>
      </c>
      <c r="D737" s="1227">
        <v>120613.75</v>
      </c>
      <c r="E737" s="1243" t="str">
        <f t="shared" si="22"/>
        <v>No</v>
      </c>
    </row>
    <row r="738" spans="1:5" ht="12.75">
      <c r="A738" s="1225"/>
      <c r="B738" s="1225">
        <v>3</v>
      </c>
      <c r="C738" s="1241" t="s">
        <v>1156</v>
      </c>
      <c r="D738" s="1227">
        <v>0</v>
      </c>
      <c r="E738" s="1243" t="str">
        <f t="shared" si="22"/>
        <v>No</v>
      </c>
    </row>
    <row r="739" spans="1:5" ht="12.75">
      <c r="A739" s="1225"/>
      <c r="B739" s="1225">
        <v>4</v>
      </c>
      <c r="C739" s="1241" t="s">
        <v>1157</v>
      </c>
      <c r="D739" s="1227">
        <v>0</v>
      </c>
      <c r="E739" s="1243" t="str">
        <f t="shared" si="22"/>
        <v>No</v>
      </c>
    </row>
    <row r="740" spans="1:5" ht="12.75">
      <c r="A740" s="1225"/>
      <c r="B740" s="1225">
        <v>5</v>
      </c>
      <c r="C740" s="1241" t="s">
        <v>204</v>
      </c>
      <c r="D740" s="1227">
        <v>0</v>
      </c>
      <c r="E740" s="1243" t="str">
        <f t="shared" si="22"/>
        <v>No</v>
      </c>
    </row>
    <row r="741" spans="1:5" ht="12.75">
      <c r="A741" s="1225"/>
      <c r="B741" s="1225">
        <v>6</v>
      </c>
      <c r="C741" s="1241" t="s">
        <v>1159</v>
      </c>
      <c r="D741" s="1227">
        <v>0</v>
      </c>
      <c r="E741" s="1243" t="str">
        <f t="shared" si="22"/>
        <v>No</v>
      </c>
    </row>
    <row r="742" spans="1:5" ht="12.75">
      <c r="A742" s="1225"/>
      <c r="B742" s="1225">
        <v>7</v>
      </c>
      <c r="C742" s="1241" t="s">
        <v>1160</v>
      </c>
      <c r="D742" s="1227">
        <v>0</v>
      </c>
      <c r="E742" s="1243" t="str">
        <f t="shared" si="22"/>
        <v>No</v>
      </c>
    </row>
    <row r="743" spans="1:5" ht="12.75">
      <c r="A743" s="1225"/>
      <c r="B743" s="1225">
        <v>8</v>
      </c>
      <c r="C743" s="1241" t="s">
        <v>1181</v>
      </c>
      <c r="D743" s="1227">
        <v>0</v>
      </c>
      <c r="E743" s="1243" t="str">
        <f t="shared" si="22"/>
        <v>No</v>
      </c>
    </row>
    <row r="744" spans="1:5" ht="12.75">
      <c r="A744" s="1225"/>
      <c r="B744" s="1225">
        <v>9</v>
      </c>
      <c r="C744" s="1241" t="s">
        <v>1161</v>
      </c>
      <c r="D744" s="1227">
        <v>0</v>
      </c>
      <c r="E744" s="1243" t="str">
        <f t="shared" si="22"/>
        <v>No</v>
      </c>
    </row>
    <row r="745" spans="1:5" ht="12.75">
      <c r="A745" s="1225"/>
      <c r="B745" s="1225">
        <v>10</v>
      </c>
      <c r="C745" s="1241" t="s">
        <v>1162</v>
      </c>
      <c r="D745" s="1227">
        <v>0</v>
      </c>
      <c r="E745" s="1243" t="str">
        <f t="shared" si="22"/>
        <v>No</v>
      </c>
    </row>
    <row r="746" spans="1:5" ht="12.75">
      <c r="A746" s="1225"/>
      <c r="B746" s="1225">
        <v>11</v>
      </c>
      <c r="C746" s="1241" t="s">
        <v>1163</v>
      </c>
      <c r="D746" s="1227">
        <v>0</v>
      </c>
      <c r="E746" s="1243" t="str">
        <f t="shared" si="22"/>
        <v>No</v>
      </c>
    </row>
    <row r="747" spans="1:5" ht="12.75">
      <c r="A747" s="1225"/>
      <c r="B747" s="1225">
        <v>12</v>
      </c>
      <c r="C747" s="1241" t="s">
        <v>1164</v>
      </c>
      <c r="D747" s="1227">
        <v>0</v>
      </c>
      <c r="E747" s="1243" t="str">
        <f t="shared" si="22"/>
        <v>No</v>
      </c>
    </row>
    <row r="748" spans="1:5" ht="12.75">
      <c r="A748" s="1225"/>
      <c r="B748" s="1225">
        <v>13</v>
      </c>
      <c r="C748" s="1241" t="s">
        <v>214</v>
      </c>
      <c r="D748" s="1227">
        <v>136698.08</v>
      </c>
      <c r="E748" s="1243" t="str">
        <f t="shared" si="22"/>
        <v>No</v>
      </c>
    </row>
    <row r="749" spans="1:5" ht="12.75">
      <c r="A749" s="1225"/>
      <c r="B749" s="1225">
        <v>14</v>
      </c>
      <c r="C749" s="1241" t="s">
        <v>205</v>
      </c>
      <c r="D749" s="1227">
        <v>24744.18</v>
      </c>
      <c r="E749" s="1243" t="str">
        <f t="shared" si="22"/>
        <v>No</v>
      </c>
    </row>
    <row r="750" spans="1:5" ht="12.75">
      <c r="A750" s="1225"/>
      <c r="B750" s="1225">
        <v>15</v>
      </c>
      <c r="C750" s="1241" t="s">
        <v>206</v>
      </c>
      <c r="D750" s="1227">
        <v>0</v>
      </c>
      <c r="E750" s="1243" t="str">
        <f t="shared" si="22"/>
        <v>No</v>
      </c>
    </row>
    <row r="751" spans="1:5" ht="12.75">
      <c r="A751" s="1225"/>
      <c r="B751" s="1225">
        <v>16</v>
      </c>
      <c r="C751" s="1241" t="s">
        <v>1167</v>
      </c>
      <c r="D751" s="1227">
        <v>0</v>
      </c>
      <c r="E751" s="1243" t="str">
        <f t="shared" si="22"/>
        <v>No</v>
      </c>
    </row>
    <row r="752" spans="1:5" ht="12.75">
      <c r="A752" s="1225"/>
      <c r="B752" s="1225">
        <v>17</v>
      </c>
      <c r="C752" s="1241" t="s">
        <v>1168</v>
      </c>
      <c r="D752" s="1227">
        <v>17752.75</v>
      </c>
      <c r="E752" s="1243" t="str">
        <f t="shared" si="22"/>
        <v>No</v>
      </c>
    </row>
    <row r="753" spans="1:5" ht="12.75">
      <c r="A753" s="1225"/>
      <c r="B753" s="1225">
        <v>18</v>
      </c>
      <c r="C753" s="1241" t="s">
        <v>1172</v>
      </c>
      <c r="D753" s="1227">
        <v>0</v>
      </c>
      <c r="E753" s="1243" t="str">
        <f t="shared" si="22"/>
        <v>No</v>
      </c>
    </row>
    <row r="754" spans="1:5" ht="12.75">
      <c r="A754" s="1225"/>
      <c r="B754" s="1225">
        <v>19</v>
      </c>
      <c r="C754" s="1241" t="s">
        <v>215</v>
      </c>
      <c r="D754" s="1227">
        <v>53938.5</v>
      </c>
      <c r="E754" s="1243" t="str">
        <f t="shared" si="22"/>
        <v>No</v>
      </c>
    </row>
    <row r="755" spans="1:5" ht="12.75">
      <c r="A755" s="1225"/>
      <c r="B755" s="1225">
        <v>20</v>
      </c>
      <c r="C755" s="1241" t="s">
        <v>216</v>
      </c>
      <c r="D755" s="1227">
        <v>18463.91</v>
      </c>
      <c r="E755" s="1243" t="str">
        <f t="shared" si="22"/>
        <v>No</v>
      </c>
    </row>
    <row r="756" spans="1:5" ht="12.75">
      <c r="A756" s="1225"/>
      <c r="B756" s="1225">
        <v>21</v>
      </c>
      <c r="C756" s="1241" t="s">
        <v>217</v>
      </c>
      <c r="D756" s="1227">
        <v>19028.75</v>
      </c>
      <c r="E756" s="1243" t="str">
        <f t="shared" si="22"/>
        <v>No</v>
      </c>
    </row>
    <row r="757" spans="1:5" ht="12.75">
      <c r="A757" s="1225"/>
      <c r="B757" s="1225">
        <v>22</v>
      </c>
      <c r="C757" s="1241" t="s">
        <v>218</v>
      </c>
      <c r="D757" s="1227">
        <v>0</v>
      </c>
      <c r="E757" s="1243" t="str">
        <f t="shared" si="22"/>
        <v>No</v>
      </c>
    </row>
    <row r="758" spans="1:5" ht="12.75">
      <c r="A758" s="1225"/>
      <c r="B758" s="1225">
        <v>23</v>
      </c>
      <c r="C758" s="1241" t="s">
        <v>219</v>
      </c>
      <c r="D758" s="1227">
        <v>0</v>
      </c>
      <c r="E758" s="1243" t="str">
        <f t="shared" si="22"/>
        <v>No</v>
      </c>
    </row>
    <row r="759" spans="1:5" ht="12.75">
      <c r="A759" s="1225"/>
      <c r="B759" s="1225">
        <v>24</v>
      </c>
      <c r="C759" s="1241" t="s">
        <v>220</v>
      </c>
      <c r="D759" s="1227">
        <v>0</v>
      </c>
      <c r="E759" s="1243" t="str">
        <f t="shared" si="22"/>
        <v>No</v>
      </c>
    </row>
    <row r="760" spans="1:5" ht="12.75">
      <c r="A760" s="1225"/>
      <c r="B760" s="1225">
        <v>32</v>
      </c>
      <c r="C760" s="1241" t="s">
        <v>1169</v>
      </c>
      <c r="D760" s="1227">
        <v>0</v>
      </c>
      <c r="E760" s="1243" t="str">
        <f t="shared" si="22"/>
        <v>No</v>
      </c>
    </row>
    <row r="761" spans="1:5" ht="12.75">
      <c r="A761" s="1225"/>
      <c r="B761" s="1225">
        <v>39</v>
      </c>
      <c r="C761" s="1241" t="s">
        <v>1170</v>
      </c>
      <c r="D761" s="1227">
        <v>20921.25</v>
      </c>
      <c r="E761" s="1243" t="str">
        <f t="shared" si="22"/>
        <v>No</v>
      </c>
    </row>
    <row r="762" spans="1:5" ht="12.75">
      <c r="A762" s="1225"/>
      <c r="B762" s="1225">
        <v>41</v>
      </c>
      <c r="C762" s="1241" t="s">
        <v>207</v>
      </c>
      <c r="D762" s="1227">
        <v>34355.33</v>
      </c>
      <c r="E762" s="1243" t="str">
        <f t="shared" si="22"/>
        <v>No</v>
      </c>
    </row>
    <row r="763" spans="1:5" ht="12.75">
      <c r="A763" s="1225"/>
      <c r="B763" s="1225">
        <v>42</v>
      </c>
      <c r="C763" s="1241" t="s">
        <v>221</v>
      </c>
      <c r="D763" s="1227">
        <v>21292.75</v>
      </c>
      <c r="E763" s="1243" t="str">
        <f t="shared" si="22"/>
        <v>No</v>
      </c>
    </row>
    <row r="764" spans="1:5" ht="12.75">
      <c r="A764" s="1225">
        <v>530121</v>
      </c>
      <c r="B764" s="1225" t="s">
        <v>972</v>
      </c>
      <c r="C764" s="1253" t="s">
        <v>224</v>
      </c>
      <c r="D764" s="1227">
        <v>0</v>
      </c>
      <c r="E764" s="1244">
        <f>SUM(D765:D779)</f>
        <v>106071.06</v>
      </c>
    </row>
    <row r="765" spans="1:5" ht="12.75">
      <c r="A765" s="1225"/>
      <c r="B765" s="1225">
        <v>3</v>
      </c>
      <c r="C765" s="1241" t="s">
        <v>1156</v>
      </c>
      <c r="D765" s="1227">
        <v>0</v>
      </c>
      <c r="E765" s="1243" t="str">
        <f aca="true" t="shared" si="23" ref="E765:E779">IF(A765&gt;0,D765,"No")</f>
        <v>No</v>
      </c>
    </row>
    <row r="766" spans="1:5" ht="12.75">
      <c r="A766" s="1225"/>
      <c r="B766" s="1225">
        <v>4</v>
      </c>
      <c r="C766" s="1241" t="s">
        <v>1157</v>
      </c>
      <c r="D766" s="1227">
        <v>0</v>
      </c>
      <c r="E766" s="1243" t="str">
        <f t="shared" si="23"/>
        <v>No</v>
      </c>
    </row>
    <row r="767" spans="1:5" ht="12.75">
      <c r="A767" s="1225"/>
      <c r="B767" s="1225">
        <v>5</v>
      </c>
      <c r="C767" s="1241" t="s">
        <v>204</v>
      </c>
      <c r="D767" s="1227">
        <v>0</v>
      </c>
      <c r="E767" s="1243" t="str">
        <f t="shared" si="23"/>
        <v>No</v>
      </c>
    </row>
    <row r="768" spans="1:5" ht="12.75">
      <c r="A768" s="1225"/>
      <c r="B768" s="1225">
        <v>10</v>
      </c>
      <c r="C768" s="1241" t="s">
        <v>1162</v>
      </c>
      <c r="D768" s="1227">
        <v>0</v>
      </c>
      <c r="E768" s="1243" t="str">
        <f t="shared" si="23"/>
        <v>No</v>
      </c>
    </row>
    <row r="769" spans="1:5" ht="12.75">
      <c r="A769" s="1225"/>
      <c r="B769" s="1225">
        <v>11</v>
      </c>
      <c r="C769" s="1241" t="s">
        <v>1163</v>
      </c>
      <c r="D769" s="1227">
        <v>0</v>
      </c>
      <c r="E769" s="1243" t="str">
        <f t="shared" si="23"/>
        <v>No</v>
      </c>
    </row>
    <row r="770" spans="1:5" ht="12.75">
      <c r="A770" s="1225"/>
      <c r="B770" s="1221">
        <v>13</v>
      </c>
      <c r="C770" s="1229" t="s">
        <v>214</v>
      </c>
      <c r="D770" s="1227">
        <v>0</v>
      </c>
      <c r="E770" s="1243" t="str">
        <f t="shared" si="23"/>
        <v>No</v>
      </c>
    </row>
    <row r="771" spans="1:5" ht="12.75">
      <c r="A771" s="1225"/>
      <c r="B771" s="1225">
        <v>14</v>
      </c>
      <c r="C771" s="1241" t="s">
        <v>205</v>
      </c>
      <c r="D771" s="1227">
        <v>0</v>
      </c>
      <c r="E771" s="1243" t="str">
        <f t="shared" si="23"/>
        <v>No</v>
      </c>
    </row>
    <row r="772" spans="1:5" ht="12.75">
      <c r="A772" s="1225"/>
      <c r="B772" s="1225">
        <v>15</v>
      </c>
      <c r="C772" s="1241" t="s">
        <v>206</v>
      </c>
      <c r="D772" s="1227">
        <v>0</v>
      </c>
      <c r="E772" s="1243" t="str">
        <f t="shared" si="23"/>
        <v>No</v>
      </c>
    </row>
    <row r="773" spans="1:5" ht="12.75">
      <c r="A773" s="1225"/>
      <c r="B773" s="1225">
        <v>17</v>
      </c>
      <c r="C773" s="1241" t="s">
        <v>1168</v>
      </c>
      <c r="D773" s="1227">
        <v>0</v>
      </c>
      <c r="E773" s="1243" t="str">
        <f t="shared" si="23"/>
        <v>No</v>
      </c>
    </row>
    <row r="774" spans="1:5" ht="12.75">
      <c r="A774" s="1225"/>
      <c r="B774" s="1225">
        <v>19</v>
      </c>
      <c r="C774" s="1241" t="s">
        <v>215</v>
      </c>
      <c r="D774" s="1227">
        <v>12963.6</v>
      </c>
      <c r="E774" s="1243" t="str">
        <f t="shared" si="23"/>
        <v>No</v>
      </c>
    </row>
    <row r="775" spans="1:5" ht="12.75">
      <c r="A775" s="1225"/>
      <c r="B775" s="1225">
        <v>20</v>
      </c>
      <c r="C775" s="1241" t="s">
        <v>216</v>
      </c>
      <c r="D775" s="1227">
        <v>0</v>
      </c>
      <c r="E775" s="1243" t="str">
        <f t="shared" si="23"/>
        <v>No</v>
      </c>
    </row>
    <row r="776" spans="1:5" ht="12.75">
      <c r="A776" s="1225"/>
      <c r="B776" s="1225">
        <v>21</v>
      </c>
      <c r="C776" s="1241" t="s">
        <v>847</v>
      </c>
      <c r="D776" s="1227">
        <v>15871.13</v>
      </c>
      <c r="E776" s="1243" t="str">
        <f t="shared" si="23"/>
        <v>No</v>
      </c>
    </row>
    <row r="777" spans="1:5" ht="12.75">
      <c r="A777" s="1225"/>
      <c r="B777" s="1225">
        <v>39</v>
      </c>
      <c r="C777" s="1241" t="s">
        <v>1170</v>
      </c>
      <c r="D777" s="1227">
        <v>17424.52</v>
      </c>
      <c r="E777" s="1243" t="str">
        <f t="shared" si="23"/>
        <v>No</v>
      </c>
    </row>
    <row r="778" spans="1:5" ht="12.75">
      <c r="A778" s="1225"/>
      <c r="B778" s="1225">
        <v>41</v>
      </c>
      <c r="C778" s="1241" t="s">
        <v>207</v>
      </c>
      <c r="D778" s="1227">
        <v>0</v>
      </c>
      <c r="E778" s="1243" t="str">
        <f t="shared" si="23"/>
        <v>No</v>
      </c>
    </row>
    <row r="779" spans="1:5" ht="12.75">
      <c r="A779" s="1225"/>
      <c r="B779" s="1225">
        <v>42</v>
      </c>
      <c r="C779" s="1241" t="s">
        <v>221</v>
      </c>
      <c r="D779" s="1227">
        <v>59811.81</v>
      </c>
      <c r="E779" s="1243" t="str">
        <f t="shared" si="23"/>
        <v>No</v>
      </c>
    </row>
    <row r="780" spans="1:5" ht="12.75">
      <c r="A780" s="1225">
        <v>530130</v>
      </c>
      <c r="B780" s="1225" t="s">
        <v>972</v>
      </c>
      <c r="C780" s="1226" t="s">
        <v>225</v>
      </c>
      <c r="D780" s="1227">
        <v>0</v>
      </c>
      <c r="E780" s="1244">
        <f>SUM(D781:D807)</f>
        <v>970689.1799999999</v>
      </c>
    </row>
    <row r="781" spans="1:5" ht="12.75">
      <c r="A781" s="1225"/>
      <c r="B781" s="1225">
        <v>1</v>
      </c>
      <c r="C781" s="1241" t="s">
        <v>212</v>
      </c>
      <c r="D781" s="1227">
        <v>0</v>
      </c>
      <c r="E781" s="1243" t="str">
        <f aca="true" t="shared" si="24" ref="E781:E807">IF(A781&gt;0,D781,"No")</f>
        <v>No</v>
      </c>
    </row>
    <row r="782" spans="1:5" ht="12.75">
      <c r="A782" s="1225"/>
      <c r="B782" s="1225">
        <v>2</v>
      </c>
      <c r="C782" s="1241" t="s">
        <v>213</v>
      </c>
      <c r="D782" s="1227">
        <v>666841.19</v>
      </c>
      <c r="E782" s="1243" t="str">
        <f t="shared" si="24"/>
        <v>No</v>
      </c>
    </row>
    <row r="783" spans="1:5" ht="12.75">
      <c r="A783" s="1225"/>
      <c r="B783" s="1225">
        <v>3</v>
      </c>
      <c r="C783" s="1241" t="s">
        <v>1156</v>
      </c>
      <c r="D783" s="1227">
        <v>0</v>
      </c>
      <c r="E783" s="1243" t="str">
        <f t="shared" si="24"/>
        <v>No</v>
      </c>
    </row>
    <row r="784" spans="1:5" ht="12.75">
      <c r="A784" s="1221"/>
      <c r="B784" s="1221">
        <v>4</v>
      </c>
      <c r="C784" s="1229" t="s">
        <v>1157</v>
      </c>
      <c r="D784" s="1223">
        <v>0</v>
      </c>
      <c r="E784" s="1243" t="str">
        <f t="shared" si="24"/>
        <v>No</v>
      </c>
    </row>
    <row r="785" spans="1:5" ht="12.75">
      <c r="A785" s="1221"/>
      <c r="B785" s="1221">
        <v>5</v>
      </c>
      <c r="C785" s="1229" t="s">
        <v>204</v>
      </c>
      <c r="D785" s="1223">
        <v>0</v>
      </c>
      <c r="E785" s="1243" t="str">
        <f t="shared" si="24"/>
        <v>No</v>
      </c>
    </row>
    <row r="786" spans="1:5" ht="12.75">
      <c r="A786" s="1221"/>
      <c r="B786" s="1221">
        <v>6</v>
      </c>
      <c r="C786" s="1229" t="s">
        <v>1159</v>
      </c>
      <c r="D786" s="1223">
        <v>0</v>
      </c>
      <c r="E786" s="1243" t="str">
        <f t="shared" si="24"/>
        <v>No</v>
      </c>
    </row>
    <row r="787" spans="1:5" ht="12.75">
      <c r="A787" s="1221"/>
      <c r="B787" s="1221">
        <v>7</v>
      </c>
      <c r="C787" s="1229" t="s">
        <v>1160</v>
      </c>
      <c r="D787" s="1223">
        <v>0</v>
      </c>
      <c r="E787" s="1243" t="str">
        <f t="shared" si="24"/>
        <v>No</v>
      </c>
    </row>
    <row r="788" spans="1:5" ht="12.75">
      <c r="A788" s="1221"/>
      <c r="B788" s="1221">
        <v>8</v>
      </c>
      <c r="C788" s="1229" t="s">
        <v>1181</v>
      </c>
      <c r="D788" s="1223">
        <v>0</v>
      </c>
      <c r="E788" s="1243" t="str">
        <f t="shared" si="24"/>
        <v>No</v>
      </c>
    </row>
    <row r="789" spans="1:5" ht="12.75">
      <c r="A789" s="1221"/>
      <c r="B789" s="1221">
        <v>9</v>
      </c>
      <c r="C789" s="1229" t="s">
        <v>1161</v>
      </c>
      <c r="D789" s="1223">
        <v>0</v>
      </c>
      <c r="E789" s="1243" t="str">
        <f t="shared" si="24"/>
        <v>No</v>
      </c>
    </row>
    <row r="790" spans="1:5" ht="12.75">
      <c r="A790" s="1221"/>
      <c r="B790" s="1221">
        <v>10</v>
      </c>
      <c r="C790" s="1229" t="s">
        <v>1162</v>
      </c>
      <c r="D790" s="1223">
        <v>0</v>
      </c>
      <c r="E790" s="1243" t="str">
        <f t="shared" si="24"/>
        <v>No</v>
      </c>
    </row>
    <row r="791" spans="1:5" ht="12.75">
      <c r="A791" s="1221"/>
      <c r="B791" s="1221">
        <v>11</v>
      </c>
      <c r="C791" s="1229" t="s">
        <v>1163</v>
      </c>
      <c r="D791" s="1223">
        <v>0</v>
      </c>
      <c r="E791" s="1243" t="str">
        <f t="shared" si="24"/>
        <v>No</v>
      </c>
    </row>
    <row r="792" spans="1:5" ht="12.75">
      <c r="A792" s="1221"/>
      <c r="B792" s="1221">
        <v>12</v>
      </c>
      <c r="C792" s="1229" t="s">
        <v>1164</v>
      </c>
      <c r="D792" s="1223">
        <v>0</v>
      </c>
      <c r="E792" s="1243" t="str">
        <f t="shared" si="24"/>
        <v>No</v>
      </c>
    </row>
    <row r="793" spans="1:5" ht="12.75">
      <c r="A793" s="1221"/>
      <c r="B793" s="1221">
        <v>13</v>
      </c>
      <c r="C793" s="1229" t="s">
        <v>214</v>
      </c>
      <c r="D793" s="1223">
        <v>0</v>
      </c>
      <c r="E793" s="1243" t="str">
        <f t="shared" si="24"/>
        <v>No</v>
      </c>
    </row>
    <row r="794" spans="1:5" ht="12.75">
      <c r="A794" s="1221"/>
      <c r="B794" s="1221">
        <v>14</v>
      </c>
      <c r="C794" s="1229" t="s">
        <v>205</v>
      </c>
      <c r="D794" s="1223">
        <v>227111.54</v>
      </c>
      <c r="E794" s="1243" t="str">
        <f t="shared" si="24"/>
        <v>No</v>
      </c>
    </row>
    <row r="795" spans="1:5" ht="12.75">
      <c r="A795" s="1221"/>
      <c r="B795" s="1221">
        <v>15</v>
      </c>
      <c r="C795" s="1229" t="s">
        <v>206</v>
      </c>
      <c r="D795" s="1223">
        <v>0</v>
      </c>
      <c r="E795" s="1243" t="str">
        <f t="shared" si="24"/>
        <v>No</v>
      </c>
    </row>
    <row r="796" spans="1:5" ht="12.75">
      <c r="A796" s="1221"/>
      <c r="B796" s="1221">
        <v>16</v>
      </c>
      <c r="C796" s="1229" t="s">
        <v>1167</v>
      </c>
      <c r="D796" s="1223">
        <v>0</v>
      </c>
      <c r="E796" s="1243" t="str">
        <f t="shared" si="24"/>
        <v>No</v>
      </c>
    </row>
    <row r="797" spans="1:5" ht="12.75">
      <c r="A797" s="1221"/>
      <c r="B797" s="1221">
        <v>17</v>
      </c>
      <c r="C797" s="1229" t="s">
        <v>1168</v>
      </c>
      <c r="D797" s="1223">
        <v>0</v>
      </c>
      <c r="E797" s="1243" t="str">
        <f t="shared" si="24"/>
        <v>No</v>
      </c>
    </row>
    <row r="798" spans="1:5" ht="12.75">
      <c r="A798" s="1221"/>
      <c r="B798" s="1221">
        <v>18</v>
      </c>
      <c r="C798" s="1229" t="s">
        <v>1172</v>
      </c>
      <c r="D798" s="1223">
        <v>0</v>
      </c>
      <c r="E798" s="1243" t="str">
        <f t="shared" si="24"/>
        <v>No</v>
      </c>
    </row>
    <row r="799" spans="1:5" ht="12.75">
      <c r="A799" s="1221"/>
      <c r="B799" s="1221">
        <v>19</v>
      </c>
      <c r="C799" s="1229" t="s">
        <v>215</v>
      </c>
      <c r="D799" s="1223">
        <v>0</v>
      </c>
      <c r="E799" s="1243" t="str">
        <f t="shared" si="24"/>
        <v>No</v>
      </c>
    </row>
    <row r="800" spans="1:5" ht="12.75">
      <c r="A800" s="1221"/>
      <c r="B800" s="1221">
        <v>20</v>
      </c>
      <c r="C800" s="1229" t="s">
        <v>216</v>
      </c>
      <c r="D800" s="1223">
        <v>0</v>
      </c>
      <c r="E800" s="1243" t="str">
        <f t="shared" si="24"/>
        <v>No</v>
      </c>
    </row>
    <row r="801" spans="1:5" ht="12.75">
      <c r="A801" s="1221"/>
      <c r="B801" s="1221">
        <v>21</v>
      </c>
      <c r="C801" s="1229" t="s">
        <v>217</v>
      </c>
      <c r="D801" s="1223">
        <v>0</v>
      </c>
      <c r="E801" s="1243" t="str">
        <f t="shared" si="24"/>
        <v>No</v>
      </c>
    </row>
    <row r="802" spans="1:5" ht="12.75">
      <c r="A802" s="1221"/>
      <c r="B802" s="1221">
        <v>22</v>
      </c>
      <c r="C802" s="1229" t="s">
        <v>218</v>
      </c>
      <c r="D802" s="1223">
        <v>0</v>
      </c>
      <c r="E802" s="1243" t="str">
        <f t="shared" si="24"/>
        <v>No</v>
      </c>
    </row>
    <row r="803" spans="1:5" ht="12.75">
      <c r="A803" s="1221"/>
      <c r="B803" s="1221">
        <v>23</v>
      </c>
      <c r="C803" s="1229" t="s">
        <v>219</v>
      </c>
      <c r="D803" s="1223">
        <v>0</v>
      </c>
      <c r="E803" s="1243" t="str">
        <f t="shared" si="24"/>
        <v>No</v>
      </c>
    </row>
    <row r="804" spans="1:5" ht="12.75">
      <c r="A804" s="1221"/>
      <c r="B804" s="1221">
        <v>24</v>
      </c>
      <c r="C804" s="1229" t="s">
        <v>220</v>
      </c>
      <c r="D804" s="1223">
        <v>0</v>
      </c>
      <c r="E804" s="1243" t="str">
        <f t="shared" si="24"/>
        <v>No</v>
      </c>
    </row>
    <row r="805" spans="1:5" ht="12.75">
      <c r="A805" s="1221"/>
      <c r="B805" s="1225">
        <v>39</v>
      </c>
      <c r="C805" s="1241" t="s">
        <v>1170</v>
      </c>
      <c r="D805" s="1223">
        <v>0</v>
      </c>
      <c r="E805" s="1243" t="str">
        <f t="shared" si="24"/>
        <v>No</v>
      </c>
    </row>
    <row r="806" spans="1:5" ht="12.75">
      <c r="A806" s="1221"/>
      <c r="B806" s="1221">
        <v>41</v>
      </c>
      <c r="C806" s="1229" t="s">
        <v>207</v>
      </c>
      <c r="D806" s="1223">
        <v>76736.45</v>
      </c>
      <c r="E806" s="1243" t="str">
        <f t="shared" si="24"/>
        <v>No</v>
      </c>
    </row>
    <row r="807" spans="1:5" ht="12.75">
      <c r="A807" s="1221"/>
      <c r="B807" s="1225">
        <v>42</v>
      </c>
      <c r="C807" s="1241" t="s">
        <v>221</v>
      </c>
      <c r="D807" s="1223">
        <v>0</v>
      </c>
      <c r="E807" s="1243" t="str">
        <f t="shared" si="24"/>
        <v>No</v>
      </c>
    </row>
    <row r="808" spans="1:5" ht="12.75">
      <c r="A808" s="1221">
        <v>530140</v>
      </c>
      <c r="B808" s="1221" t="s">
        <v>972</v>
      </c>
      <c r="C808" s="1239" t="s">
        <v>226</v>
      </c>
      <c r="D808" s="1223">
        <v>0</v>
      </c>
      <c r="E808" s="1244">
        <f>SUM(D809:D824)</f>
        <v>0</v>
      </c>
    </row>
    <row r="809" spans="1:5" ht="12.75">
      <c r="A809" s="1221"/>
      <c r="B809" s="1221">
        <v>1</v>
      </c>
      <c r="C809" s="1229" t="s">
        <v>212</v>
      </c>
      <c r="D809" s="1223">
        <v>0</v>
      </c>
      <c r="E809" s="1243" t="str">
        <f aca="true" t="shared" si="25" ref="E809:E824">IF(A809&gt;0,D809,"No")</f>
        <v>No</v>
      </c>
    </row>
    <row r="810" spans="1:5" ht="12.75">
      <c r="A810" s="1221"/>
      <c r="B810" s="1221">
        <v>2</v>
      </c>
      <c r="C810" s="1229" t="s">
        <v>213</v>
      </c>
      <c r="D810" s="1223">
        <v>0</v>
      </c>
      <c r="E810" s="1243" t="str">
        <f t="shared" si="25"/>
        <v>No</v>
      </c>
    </row>
    <row r="811" spans="1:5" ht="12.75">
      <c r="A811" s="1221"/>
      <c r="B811" s="1221">
        <v>3</v>
      </c>
      <c r="C811" s="1229" t="s">
        <v>1156</v>
      </c>
      <c r="D811" s="1223">
        <v>0</v>
      </c>
      <c r="E811" s="1243" t="str">
        <f t="shared" si="25"/>
        <v>No</v>
      </c>
    </row>
    <row r="812" spans="1:5" ht="12.75">
      <c r="A812" s="1221"/>
      <c r="B812" s="1221">
        <v>7</v>
      </c>
      <c r="C812" s="1229" t="s">
        <v>1160</v>
      </c>
      <c r="D812" s="1223">
        <v>0</v>
      </c>
      <c r="E812" s="1243" t="str">
        <f t="shared" si="25"/>
        <v>No</v>
      </c>
    </row>
    <row r="813" spans="1:5" ht="12.75">
      <c r="A813" s="1221"/>
      <c r="B813" s="1221">
        <v>8</v>
      </c>
      <c r="C813" s="1229" t="s">
        <v>1181</v>
      </c>
      <c r="D813" s="1223">
        <v>0</v>
      </c>
      <c r="E813" s="1243" t="str">
        <f t="shared" si="25"/>
        <v>No</v>
      </c>
    </row>
    <row r="814" spans="1:5" ht="12.75">
      <c r="A814" s="1221"/>
      <c r="B814" s="1221">
        <v>9</v>
      </c>
      <c r="C814" s="1229" t="s">
        <v>1161</v>
      </c>
      <c r="D814" s="1223">
        <v>0</v>
      </c>
      <c r="E814" s="1243" t="str">
        <f t="shared" si="25"/>
        <v>No</v>
      </c>
    </row>
    <row r="815" spans="1:5" ht="12.75">
      <c r="A815" s="1221"/>
      <c r="B815" s="1221">
        <v>10</v>
      </c>
      <c r="C815" s="1229" t="s">
        <v>1162</v>
      </c>
      <c r="D815" s="1223">
        <v>0</v>
      </c>
      <c r="E815" s="1243" t="str">
        <f t="shared" si="25"/>
        <v>No</v>
      </c>
    </row>
    <row r="816" spans="1:5" ht="12.75">
      <c r="A816" s="1221"/>
      <c r="B816" s="1221">
        <v>11</v>
      </c>
      <c r="C816" s="1229" t="s">
        <v>1163</v>
      </c>
      <c r="D816" s="1223">
        <v>0</v>
      </c>
      <c r="E816" s="1243" t="str">
        <f t="shared" si="25"/>
        <v>No</v>
      </c>
    </row>
    <row r="817" spans="1:5" ht="12.75">
      <c r="A817" s="1221"/>
      <c r="B817" s="1221">
        <v>12</v>
      </c>
      <c r="C817" s="1229" t="s">
        <v>1164</v>
      </c>
      <c r="D817" s="1223">
        <v>0</v>
      </c>
      <c r="E817" s="1243" t="str">
        <f t="shared" si="25"/>
        <v>No</v>
      </c>
    </row>
    <row r="818" spans="1:5" ht="12.75">
      <c r="A818" s="1221"/>
      <c r="B818" s="1221">
        <v>13</v>
      </c>
      <c r="C818" s="1229" t="s">
        <v>214</v>
      </c>
      <c r="D818" s="1223">
        <v>0</v>
      </c>
      <c r="E818" s="1243" t="str">
        <f t="shared" si="25"/>
        <v>No</v>
      </c>
    </row>
    <row r="819" spans="1:5" ht="12.75">
      <c r="A819" s="1221"/>
      <c r="B819" s="1221">
        <v>14</v>
      </c>
      <c r="C819" s="1229" t="s">
        <v>205</v>
      </c>
      <c r="D819" s="1223">
        <v>0</v>
      </c>
      <c r="E819" s="1243" t="str">
        <f t="shared" si="25"/>
        <v>No</v>
      </c>
    </row>
    <row r="820" spans="1:5" ht="12.75">
      <c r="A820" s="1221"/>
      <c r="B820" s="1221">
        <v>16</v>
      </c>
      <c r="C820" s="1229" t="s">
        <v>1167</v>
      </c>
      <c r="D820" s="1223">
        <v>0</v>
      </c>
      <c r="E820" s="1243" t="str">
        <f t="shared" si="25"/>
        <v>No</v>
      </c>
    </row>
    <row r="821" spans="1:5" ht="12.75">
      <c r="A821" s="1221"/>
      <c r="B821" s="1221">
        <v>17</v>
      </c>
      <c r="C821" s="1229" t="s">
        <v>1168</v>
      </c>
      <c r="D821" s="1223">
        <v>0</v>
      </c>
      <c r="E821" s="1243" t="str">
        <f t="shared" si="25"/>
        <v>No</v>
      </c>
    </row>
    <row r="822" spans="1:5" ht="12.75">
      <c r="A822" s="1221"/>
      <c r="B822" s="1221">
        <v>18</v>
      </c>
      <c r="C822" s="1229" t="s">
        <v>1172</v>
      </c>
      <c r="D822" s="1223">
        <v>0</v>
      </c>
      <c r="E822" s="1243" t="str">
        <f t="shared" si="25"/>
        <v>No</v>
      </c>
    </row>
    <row r="823" spans="1:5" ht="12.75">
      <c r="A823" s="1221"/>
      <c r="B823" s="1221">
        <v>25</v>
      </c>
      <c r="C823" s="1229" t="s">
        <v>1176</v>
      </c>
      <c r="D823" s="1223">
        <v>0</v>
      </c>
      <c r="E823" s="1243" t="str">
        <f t="shared" si="25"/>
        <v>No</v>
      </c>
    </row>
    <row r="824" spans="1:5" ht="12.75">
      <c r="A824" s="1221"/>
      <c r="B824" s="1221">
        <v>31</v>
      </c>
      <c r="C824" s="1229" t="s">
        <v>1179</v>
      </c>
      <c r="D824" s="1223">
        <v>0</v>
      </c>
      <c r="E824" s="1243" t="str">
        <f t="shared" si="25"/>
        <v>No</v>
      </c>
    </row>
    <row r="825" spans="1:5" ht="12.75">
      <c r="A825" s="1221">
        <v>530150</v>
      </c>
      <c r="B825" s="1221" t="s">
        <v>972</v>
      </c>
      <c r="C825" s="1222" t="s">
        <v>227</v>
      </c>
      <c r="D825" s="1223">
        <v>0</v>
      </c>
      <c r="E825" s="1244">
        <f>SUM(D826)</f>
        <v>7186423.8</v>
      </c>
    </row>
    <row r="826" spans="1:5" ht="12.75">
      <c r="A826" s="1221"/>
      <c r="B826" s="1221">
        <v>1</v>
      </c>
      <c r="C826" s="1229" t="s">
        <v>212</v>
      </c>
      <c r="D826" s="1223">
        <v>7186423.8</v>
      </c>
      <c r="E826" s="1243" t="str">
        <f>IF(A826&gt;0,D826,"No")</f>
        <v>No</v>
      </c>
    </row>
    <row r="827" spans="1:5" ht="12.75">
      <c r="A827" s="1225">
        <v>530160</v>
      </c>
      <c r="B827" s="1225" t="s">
        <v>972</v>
      </c>
      <c r="C827" s="1226" t="s">
        <v>228</v>
      </c>
      <c r="D827" s="1227">
        <v>0</v>
      </c>
      <c r="E827" s="1244">
        <f>SUM(D828:D853)</f>
        <v>2941444.01</v>
      </c>
    </row>
    <row r="828" spans="1:5" ht="12.75">
      <c r="A828" s="1225"/>
      <c r="B828" s="1225">
        <v>1</v>
      </c>
      <c r="C828" s="1241" t="s">
        <v>212</v>
      </c>
      <c r="D828" s="1227">
        <v>1200</v>
      </c>
      <c r="E828" s="1243" t="str">
        <f aca="true" t="shared" si="26" ref="E828:E853">IF(A828&gt;0,D828,"No")</f>
        <v>No</v>
      </c>
    </row>
    <row r="829" spans="1:5" ht="12.75">
      <c r="A829" s="1225"/>
      <c r="B829" s="1225">
        <v>2</v>
      </c>
      <c r="C829" s="1241" t="s">
        <v>213</v>
      </c>
      <c r="D829" s="1227">
        <v>111971.45</v>
      </c>
      <c r="E829" s="1243" t="str">
        <f t="shared" si="26"/>
        <v>No</v>
      </c>
    </row>
    <row r="830" spans="1:5" ht="12.75">
      <c r="A830" s="1225"/>
      <c r="B830" s="1225">
        <v>3</v>
      </c>
      <c r="C830" s="1241" t="s">
        <v>1156</v>
      </c>
      <c r="D830" s="1227">
        <v>3327</v>
      </c>
      <c r="E830" s="1243" t="str">
        <f t="shared" si="26"/>
        <v>No</v>
      </c>
    </row>
    <row r="831" spans="1:5" ht="12.75">
      <c r="A831" s="1225"/>
      <c r="B831" s="1225">
        <v>4</v>
      </c>
      <c r="C831" s="1241" t="s">
        <v>1157</v>
      </c>
      <c r="D831" s="1227">
        <v>526440.68</v>
      </c>
      <c r="E831" s="1243" t="str">
        <f t="shared" si="26"/>
        <v>No</v>
      </c>
    </row>
    <row r="832" spans="1:5" ht="12.75">
      <c r="A832" s="1225"/>
      <c r="B832" s="1225">
        <v>5</v>
      </c>
      <c r="C832" s="1241" t="s">
        <v>204</v>
      </c>
      <c r="D832" s="1227">
        <v>256499.15</v>
      </c>
      <c r="E832" s="1243" t="str">
        <f t="shared" si="26"/>
        <v>No</v>
      </c>
    </row>
    <row r="833" spans="1:5" ht="12.75">
      <c r="A833" s="1225"/>
      <c r="B833" s="1225">
        <v>6</v>
      </c>
      <c r="C833" s="1241" t="s">
        <v>1159</v>
      </c>
      <c r="D833" s="1227">
        <v>142216.7</v>
      </c>
      <c r="E833" s="1243" t="str">
        <f t="shared" si="26"/>
        <v>No</v>
      </c>
    </row>
    <row r="834" spans="1:5" ht="12.75">
      <c r="A834" s="1225"/>
      <c r="B834" s="1225">
        <v>7</v>
      </c>
      <c r="C834" s="1241" t="s">
        <v>1160</v>
      </c>
      <c r="D834" s="1227">
        <v>25002</v>
      </c>
      <c r="E834" s="1243" t="str">
        <f t="shared" si="26"/>
        <v>No</v>
      </c>
    </row>
    <row r="835" spans="1:5" ht="12.75">
      <c r="A835" s="1225"/>
      <c r="B835" s="1225">
        <v>9</v>
      </c>
      <c r="C835" s="1241" t="s">
        <v>1161</v>
      </c>
      <c r="D835" s="1227">
        <v>2132</v>
      </c>
      <c r="E835" s="1243" t="str">
        <f t="shared" si="26"/>
        <v>No</v>
      </c>
    </row>
    <row r="836" spans="1:5" ht="12.75">
      <c r="A836" s="1225"/>
      <c r="B836" s="1225">
        <v>10</v>
      </c>
      <c r="C836" s="1241" t="s">
        <v>1162</v>
      </c>
      <c r="D836" s="1227">
        <v>108768</v>
      </c>
      <c r="E836" s="1243" t="str">
        <f t="shared" si="26"/>
        <v>No</v>
      </c>
    </row>
    <row r="837" spans="1:5" ht="12.75">
      <c r="A837" s="1225"/>
      <c r="B837" s="1225">
        <v>11</v>
      </c>
      <c r="C837" s="1241" t="s">
        <v>1163</v>
      </c>
      <c r="D837" s="1227">
        <v>0</v>
      </c>
      <c r="E837" s="1243" t="str">
        <f t="shared" si="26"/>
        <v>No</v>
      </c>
    </row>
    <row r="838" spans="1:5" ht="12.75">
      <c r="A838" s="1225"/>
      <c r="B838" s="1225">
        <v>12</v>
      </c>
      <c r="C838" s="1241" t="s">
        <v>1164</v>
      </c>
      <c r="D838" s="1227">
        <v>0</v>
      </c>
      <c r="E838" s="1243" t="str">
        <f t="shared" si="26"/>
        <v>No</v>
      </c>
    </row>
    <row r="839" spans="1:5" ht="12.75">
      <c r="A839" s="1225"/>
      <c r="B839" s="1225">
        <v>13</v>
      </c>
      <c r="C839" s="1241" t="s">
        <v>214</v>
      </c>
      <c r="D839" s="1227">
        <v>242433.47</v>
      </c>
      <c r="E839" s="1243" t="str">
        <f t="shared" si="26"/>
        <v>No</v>
      </c>
    </row>
    <row r="840" spans="1:5" ht="12.75">
      <c r="A840" s="1225"/>
      <c r="B840" s="1225">
        <v>14</v>
      </c>
      <c r="C840" s="1241" t="s">
        <v>205</v>
      </c>
      <c r="D840" s="1227">
        <v>75521.64</v>
      </c>
      <c r="E840" s="1243" t="str">
        <f t="shared" si="26"/>
        <v>No</v>
      </c>
    </row>
    <row r="841" spans="1:5" ht="12.75">
      <c r="A841" s="1225"/>
      <c r="B841" s="1225">
        <v>15</v>
      </c>
      <c r="C841" s="1241" t="s">
        <v>206</v>
      </c>
      <c r="D841" s="1227">
        <v>446185.71</v>
      </c>
      <c r="E841" s="1243" t="str">
        <f t="shared" si="26"/>
        <v>No</v>
      </c>
    </row>
    <row r="842" spans="1:5" ht="12.75">
      <c r="A842" s="1225"/>
      <c r="B842" s="1225">
        <v>16</v>
      </c>
      <c r="C842" s="1241" t="s">
        <v>1167</v>
      </c>
      <c r="D842" s="1227">
        <v>1500</v>
      </c>
      <c r="E842" s="1243" t="str">
        <f t="shared" si="26"/>
        <v>No</v>
      </c>
    </row>
    <row r="843" spans="1:5" ht="12.75">
      <c r="A843" s="1225"/>
      <c r="B843" s="1225">
        <v>17</v>
      </c>
      <c r="C843" s="1241" t="s">
        <v>1168</v>
      </c>
      <c r="D843" s="1227">
        <v>87118</v>
      </c>
      <c r="E843" s="1243" t="str">
        <f t="shared" si="26"/>
        <v>No</v>
      </c>
    </row>
    <row r="844" spans="1:5" ht="12.75">
      <c r="A844" s="1225"/>
      <c r="B844" s="1225">
        <v>18</v>
      </c>
      <c r="C844" s="1241" t="s">
        <v>1172</v>
      </c>
      <c r="D844" s="1227">
        <v>7934.13</v>
      </c>
      <c r="E844" s="1243" t="str">
        <f t="shared" si="26"/>
        <v>No</v>
      </c>
    </row>
    <row r="845" spans="1:5" ht="12.75">
      <c r="A845" s="1225"/>
      <c r="B845" s="1225">
        <v>19</v>
      </c>
      <c r="C845" s="1241" t="s">
        <v>215</v>
      </c>
      <c r="D845" s="1227">
        <v>0</v>
      </c>
      <c r="E845" s="1243" t="str">
        <f t="shared" si="26"/>
        <v>No</v>
      </c>
    </row>
    <row r="846" spans="1:5" ht="12.75">
      <c r="A846" s="1225"/>
      <c r="B846" s="1225">
        <v>20</v>
      </c>
      <c r="C846" s="1241" t="s">
        <v>216</v>
      </c>
      <c r="D846" s="1227">
        <v>0</v>
      </c>
      <c r="E846" s="1243" t="str">
        <f t="shared" si="26"/>
        <v>No</v>
      </c>
    </row>
    <row r="847" spans="1:5" ht="12.75">
      <c r="A847" s="1225"/>
      <c r="B847" s="1225">
        <v>21</v>
      </c>
      <c r="C847" s="1241" t="s">
        <v>217</v>
      </c>
      <c r="D847" s="1227">
        <v>0</v>
      </c>
      <c r="E847" s="1243" t="str">
        <f t="shared" si="26"/>
        <v>No</v>
      </c>
    </row>
    <row r="848" spans="1:5" ht="12.75">
      <c r="A848" s="1225"/>
      <c r="B848" s="1225">
        <v>22</v>
      </c>
      <c r="C848" s="1241" t="s">
        <v>218</v>
      </c>
      <c r="D848" s="1227">
        <v>81955</v>
      </c>
      <c r="E848" s="1243" t="str">
        <f t="shared" si="26"/>
        <v>No</v>
      </c>
    </row>
    <row r="849" spans="1:5" ht="12.75">
      <c r="A849" s="1225"/>
      <c r="B849" s="1225">
        <v>23</v>
      </c>
      <c r="C849" s="1241" t="s">
        <v>219</v>
      </c>
      <c r="D849" s="1227">
        <v>0</v>
      </c>
      <c r="E849" s="1243" t="str">
        <f t="shared" si="26"/>
        <v>No</v>
      </c>
    </row>
    <row r="850" spans="1:5" ht="12.75">
      <c r="A850" s="1225"/>
      <c r="B850" s="1225">
        <v>32</v>
      </c>
      <c r="C850" s="1241" t="s">
        <v>1169</v>
      </c>
      <c r="D850" s="1227">
        <v>107567.41</v>
      </c>
      <c r="E850" s="1243" t="str">
        <f t="shared" si="26"/>
        <v>No</v>
      </c>
    </row>
    <row r="851" spans="1:5" ht="12.75">
      <c r="A851" s="1225"/>
      <c r="B851" s="1225">
        <v>39</v>
      </c>
      <c r="C851" s="1241" t="s">
        <v>1170</v>
      </c>
      <c r="D851" s="1227">
        <v>17662</v>
      </c>
      <c r="E851" s="1243" t="str">
        <f t="shared" si="26"/>
        <v>No</v>
      </c>
    </row>
    <row r="852" spans="1:5" ht="12.75">
      <c r="A852" s="1225"/>
      <c r="B852" s="1225">
        <v>41</v>
      </c>
      <c r="C852" s="1241" t="s">
        <v>207</v>
      </c>
      <c r="D852" s="1227">
        <v>536729.37</v>
      </c>
      <c r="E852" s="1243" t="str">
        <f t="shared" si="26"/>
        <v>No</v>
      </c>
    </row>
    <row r="853" spans="1:5" ht="12.75">
      <c r="A853" s="1225"/>
      <c r="B853" s="1225">
        <v>43</v>
      </c>
      <c r="C853" s="1241" t="s">
        <v>959</v>
      </c>
      <c r="D853" s="1227">
        <v>159280.3</v>
      </c>
      <c r="E853" s="1243" t="str">
        <f t="shared" si="26"/>
        <v>No</v>
      </c>
    </row>
    <row r="854" spans="1:5" ht="12.75">
      <c r="A854" s="1225">
        <v>530170</v>
      </c>
      <c r="B854" s="1225" t="s">
        <v>972</v>
      </c>
      <c r="C854" s="1226" t="s">
        <v>229</v>
      </c>
      <c r="D854" s="1227">
        <v>0</v>
      </c>
      <c r="E854" s="1244">
        <f>SUM(D855:D859)</f>
        <v>279120</v>
      </c>
    </row>
    <row r="855" spans="1:5" ht="12.75">
      <c r="A855" s="1225"/>
      <c r="B855" s="1225">
        <v>2</v>
      </c>
      <c r="C855" s="1241" t="s">
        <v>213</v>
      </c>
      <c r="D855" s="1227">
        <v>139560</v>
      </c>
      <c r="E855" s="1243" t="str">
        <f>IF(A855&gt;0,D855,"No")</f>
        <v>No</v>
      </c>
    </row>
    <row r="856" spans="1:5" ht="12.75">
      <c r="A856" s="1225"/>
      <c r="B856" s="1225">
        <v>14</v>
      </c>
      <c r="C856" s="1241" t="s">
        <v>205</v>
      </c>
      <c r="D856" s="1227">
        <v>104314.29</v>
      </c>
      <c r="E856" s="1243" t="str">
        <f>IF(A856&gt;0,D856,"No")</f>
        <v>No</v>
      </c>
    </row>
    <row r="857" spans="1:5" ht="12.75">
      <c r="A857" s="1221"/>
      <c r="B857" s="1221">
        <v>25</v>
      </c>
      <c r="C857" s="1229" t="s">
        <v>1176</v>
      </c>
      <c r="D857" s="1223">
        <v>0</v>
      </c>
      <c r="E857" s="1243" t="str">
        <f>IF(A857&gt;0,D857,"No")</f>
        <v>No</v>
      </c>
    </row>
    <row r="858" spans="1:5" ht="12.75">
      <c r="A858" s="1221"/>
      <c r="B858" s="1221">
        <v>28</v>
      </c>
      <c r="C858" s="1229" t="s">
        <v>1178</v>
      </c>
      <c r="D858" s="1223">
        <v>0</v>
      </c>
      <c r="E858" s="1243" t="str">
        <f>IF(A858&gt;0,D858,"No")</f>
        <v>No</v>
      </c>
    </row>
    <row r="859" spans="1:5" ht="12.75">
      <c r="A859" s="1221"/>
      <c r="B859" s="1221">
        <v>41</v>
      </c>
      <c r="C859" s="1229" t="s">
        <v>207</v>
      </c>
      <c r="D859" s="1223">
        <v>35245.71</v>
      </c>
      <c r="E859" s="1243" t="str">
        <f>IF(A859&gt;0,D859,"No")</f>
        <v>No</v>
      </c>
    </row>
    <row r="860" spans="1:5" ht="12.75">
      <c r="A860" s="1221">
        <v>530180</v>
      </c>
      <c r="B860" s="1221" t="s">
        <v>972</v>
      </c>
      <c r="C860" s="1222" t="s">
        <v>230</v>
      </c>
      <c r="D860" s="1223">
        <v>0</v>
      </c>
      <c r="E860" s="1244">
        <f>SUM(D861:D864)</f>
        <v>59659.19</v>
      </c>
    </row>
    <row r="861" spans="1:5" ht="12.75">
      <c r="A861" s="1221"/>
      <c r="B861" s="1221">
        <v>2</v>
      </c>
      <c r="C861" s="1229" t="s">
        <v>213</v>
      </c>
      <c r="D861" s="1223">
        <v>47908.24</v>
      </c>
      <c r="E861" s="1243" t="str">
        <f>IF(A861&gt;0,D861,"No")</f>
        <v>No</v>
      </c>
    </row>
    <row r="862" spans="1:5" ht="12.75">
      <c r="A862" s="1221"/>
      <c r="B862" s="1221">
        <v>14</v>
      </c>
      <c r="C862" s="1229" t="s">
        <v>205</v>
      </c>
      <c r="D862" s="1223">
        <v>8783.26</v>
      </c>
      <c r="E862" s="1243" t="str">
        <f>IF(A862&gt;0,D862,"No")</f>
        <v>No</v>
      </c>
    </row>
    <row r="863" spans="1:5" ht="12.75">
      <c r="A863" s="1221"/>
      <c r="B863" s="1221">
        <v>27</v>
      </c>
      <c r="C863" s="1229" t="s">
        <v>1153</v>
      </c>
      <c r="D863" s="1223">
        <v>0</v>
      </c>
      <c r="E863" s="1243" t="str">
        <f>IF(A863&gt;0,D863,"No")</f>
        <v>No</v>
      </c>
    </row>
    <row r="864" spans="1:5" ht="12.75">
      <c r="A864" s="1221"/>
      <c r="B864" s="1221">
        <v>41</v>
      </c>
      <c r="C864" s="1229" t="s">
        <v>207</v>
      </c>
      <c r="D864" s="1223">
        <v>2967.69</v>
      </c>
      <c r="E864" s="1243" t="str">
        <f>IF(A864&gt;0,D864,"No")</f>
        <v>No</v>
      </c>
    </row>
    <row r="865" spans="1:5" ht="12.75">
      <c r="A865" s="1221">
        <v>530190</v>
      </c>
      <c r="B865" s="1221" t="s">
        <v>972</v>
      </c>
      <c r="C865" s="1222" t="s">
        <v>231</v>
      </c>
      <c r="D865" s="1223">
        <v>0</v>
      </c>
      <c r="E865" s="1244">
        <f>SUM(D866:D868)</f>
        <v>0</v>
      </c>
    </row>
    <row r="866" spans="1:5" ht="12.75">
      <c r="A866" s="1221"/>
      <c r="B866" s="1221">
        <v>2</v>
      </c>
      <c r="C866" s="1229" t="s">
        <v>213</v>
      </c>
      <c r="D866" s="1223">
        <v>0</v>
      </c>
      <c r="E866" s="1243" t="str">
        <f>IF(A866&gt;0,D866,"No")</f>
        <v>No</v>
      </c>
    </row>
    <row r="867" spans="1:5" ht="12.75">
      <c r="A867" s="1221"/>
      <c r="B867" s="1221">
        <v>14</v>
      </c>
      <c r="C867" s="1229" t="s">
        <v>205</v>
      </c>
      <c r="D867" s="1223">
        <v>0</v>
      </c>
      <c r="E867" s="1243" t="str">
        <f>IF(A867&gt;0,D867,"No")</f>
        <v>No</v>
      </c>
    </row>
    <row r="868" spans="1:5" ht="12.75">
      <c r="A868" s="1221"/>
      <c r="B868" s="1221">
        <v>41</v>
      </c>
      <c r="C868" s="1229" t="s">
        <v>207</v>
      </c>
      <c r="D868" s="1223">
        <v>0</v>
      </c>
      <c r="E868" s="1243" t="str">
        <f>IF(A868&gt;0,D868,"No")</f>
        <v>No</v>
      </c>
    </row>
    <row r="869" spans="1:5" ht="12.75">
      <c r="A869" s="1221">
        <v>530200</v>
      </c>
      <c r="B869" s="1221" t="s">
        <v>972</v>
      </c>
      <c r="C869" s="1222" t="s">
        <v>232</v>
      </c>
      <c r="D869" s="1223">
        <v>0</v>
      </c>
      <c r="E869" s="1244">
        <f>SUM(D870:D874)</f>
        <v>128877.02</v>
      </c>
    </row>
    <row r="870" spans="1:5" ht="12.75">
      <c r="A870" s="1221"/>
      <c r="B870" s="1221">
        <v>2</v>
      </c>
      <c r="C870" s="1229" t="s">
        <v>213</v>
      </c>
      <c r="D870" s="1223">
        <v>67759.91</v>
      </c>
      <c r="E870" s="1243" t="str">
        <f>IF(A870&gt;0,D870,"No")</f>
        <v>No</v>
      </c>
    </row>
    <row r="871" spans="1:5" ht="12.75">
      <c r="A871" s="1221"/>
      <c r="B871" s="1221">
        <v>14</v>
      </c>
      <c r="C871" s="1229" t="s">
        <v>205</v>
      </c>
      <c r="D871" s="1223">
        <v>40095.72</v>
      </c>
      <c r="E871" s="1243" t="str">
        <f>IF(A871&gt;0,D871,"No")</f>
        <v>No</v>
      </c>
    </row>
    <row r="872" spans="1:5" ht="12.75">
      <c r="A872" s="1221"/>
      <c r="B872" s="1221">
        <v>15</v>
      </c>
      <c r="C872" s="1229" t="s">
        <v>206</v>
      </c>
      <c r="D872" s="1223">
        <v>0</v>
      </c>
      <c r="E872" s="1243" t="str">
        <f>IF(A872&gt;0,D872,"No")</f>
        <v>No</v>
      </c>
    </row>
    <row r="873" spans="1:5" ht="12.75">
      <c r="A873" s="1221"/>
      <c r="B873" s="1221">
        <v>18</v>
      </c>
      <c r="C873" s="1229" t="s">
        <v>1172</v>
      </c>
      <c r="D873" s="1223">
        <v>6530.09</v>
      </c>
      <c r="E873" s="1243" t="str">
        <f>IF(A873&gt;0,D873,"No")</f>
        <v>No</v>
      </c>
    </row>
    <row r="874" spans="1:5" ht="12.75">
      <c r="A874" s="1221"/>
      <c r="B874" s="1221">
        <v>41</v>
      </c>
      <c r="C874" s="1229" t="s">
        <v>207</v>
      </c>
      <c r="D874" s="1223">
        <v>14491.3</v>
      </c>
      <c r="E874" s="1243" t="str">
        <f>IF(A874&gt;0,D874,"No")</f>
        <v>No</v>
      </c>
    </row>
    <row r="875" spans="1:5" ht="12.75">
      <c r="A875" s="1221">
        <v>530201</v>
      </c>
      <c r="B875" s="1221" t="s">
        <v>972</v>
      </c>
      <c r="C875" s="1222" t="s">
        <v>233</v>
      </c>
      <c r="D875" s="1223">
        <v>0</v>
      </c>
      <c r="E875" s="1244">
        <f>SUM(D876:D903)</f>
        <v>73940.33</v>
      </c>
    </row>
    <row r="876" spans="1:5" ht="12.75">
      <c r="A876" s="1221"/>
      <c r="B876" s="1221">
        <v>1</v>
      </c>
      <c r="C876" s="1229" t="s">
        <v>212</v>
      </c>
      <c r="D876" s="1223">
        <v>1693.31</v>
      </c>
      <c r="E876" s="1243" t="str">
        <f aca="true" t="shared" si="27" ref="E876:E903">IF(A876&gt;0,D876,"No")</f>
        <v>No</v>
      </c>
    </row>
    <row r="877" spans="1:5" ht="12.75">
      <c r="A877" s="1221"/>
      <c r="B877" s="1221">
        <v>2</v>
      </c>
      <c r="C877" s="1229" t="s">
        <v>213</v>
      </c>
      <c r="D877" s="1223">
        <v>3207.02</v>
      </c>
      <c r="E877" s="1243" t="str">
        <f t="shared" si="27"/>
        <v>No</v>
      </c>
    </row>
    <row r="878" spans="1:5" ht="12.75">
      <c r="A878" s="1221"/>
      <c r="B878" s="1221">
        <v>3</v>
      </c>
      <c r="C878" s="1229" t="s">
        <v>1156</v>
      </c>
      <c r="D878" s="1223">
        <v>665.31</v>
      </c>
      <c r="E878" s="1243" t="str">
        <f t="shared" si="27"/>
        <v>No</v>
      </c>
    </row>
    <row r="879" spans="1:5" ht="12.75">
      <c r="A879" s="1221"/>
      <c r="B879" s="1221">
        <v>4</v>
      </c>
      <c r="C879" s="1229" t="s">
        <v>1157</v>
      </c>
      <c r="D879" s="1223">
        <v>15732.94</v>
      </c>
      <c r="E879" s="1243" t="str">
        <f t="shared" si="27"/>
        <v>No</v>
      </c>
    </row>
    <row r="880" spans="1:5" ht="12.75">
      <c r="A880" s="1221"/>
      <c r="B880" s="1221">
        <v>5</v>
      </c>
      <c r="C880" s="1229" t="s">
        <v>204</v>
      </c>
      <c r="D880" s="1223">
        <v>4645.37</v>
      </c>
      <c r="E880" s="1243" t="str">
        <f t="shared" si="27"/>
        <v>No</v>
      </c>
    </row>
    <row r="881" spans="1:5" ht="12.75">
      <c r="A881" s="1221"/>
      <c r="B881" s="1221">
        <v>6</v>
      </c>
      <c r="C881" s="1229" t="s">
        <v>1159</v>
      </c>
      <c r="D881" s="1223">
        <v>4750.45</v>
      </c>
      <c r="E881" s="1243" t="str">
        <f t="shared" si="27"/>
        <v>No</v>
      </c>
    </row>
    <row r="882" spans="1:5" ht="12.75">
      <c r="A882" s="1221"/>
      <c r="B882" s="1221">
        <v>7</v>
      </c>
      <c r="C882" s="1229" t="s">
        <v>1160</v>
      </c>
      <c r="D882" s="1223">
        <v>4063.52</v>
      </c>
      <c r="E882" s="1243" t="str">
        <f t="shared" si="27"/>
        <v>No</v>
      </c>
    </row>
    <row r="883" spans="1:5" ht="12.75">
      <c r="A883" s="1221"/>
      <c r="B883" s="1221">
        <v>8</v>
      </c>
      <c r="C883" s="1229" t="s">
        <v>1181</v>
      </c>
      <c r="D883" s="1223">
        <v>0</v>
      </c>
      <c r="E883" s="1243" t="str">
        <f t="shared" si="27"/>
        <v>No</v>
      </c>
    </row>
    <row r="884" spans="1:5" ht="12.75">
      <c r="A884" s="1221"/>
      <c r="B884" s="1221">
        <v>9</v>
      </c>
      <c r="C884" s="1229" t="s">
        <v>1161</v>
      </c>
      <c r="D884" s="1223">
        <v>0</v>
      </c>
      <c r="E884" s="1243" t="str">
        <f t="shared" si="27"/>
        <v>No</v>
      </c>
    </row>
    <row r="885" spans="1:5" ht="12.75">
      <c r="A885" s="1221"/>
      <c r="B885" s="1221">
        <v>10</v>
      </c>
      <c r="C885" s="1229" t="s">
        <v>1162</v>
      </c>
      <c r="D885" s="1223">
        <v>3832.44</v>
      </c>
      <c r="E885" s="1243" t="str">
        <f t="shared" si="27"/>
        <v>No</v>
      </c>
    </row>
    <row r="886" spans="1:5" ht="12.75">
      <c r="A886" s="1221"/>
      <c r="B886" s="1221">
        <v>11</v>
      </c>
      <c r="C886" s="1229" t="s">
        <v>1163</v>
      </c>
      <c r="D886" s="1223">
        <v>0</v>
      </c>
      <c r="E886" s="1243" t="str">
        <f t="shared" si="27"/>
        <v>No</v>
      </c>
    </row>
    <row r="887" spans="1:5" ht="12.75">
      <c r="A887" s="1221"/>
      <c r="B887" s="1221">
        <v>12</v>
      </c>
      <c r="C887" s="1229" t="s">
        <v>1164</v>
      </c>
      <c r="D887" s="1223">
        <v>0</v>
      </c>
      <c r="E887" s="1243" t="str">
        <f t="shared" si="27"/>
        <v>No</v>
      </c>
    </row>
    <row r="888" spans="1:5" ht="12.75">
      <c r="A888" s="1221"/>
      <c r="B888" s="1221">
        <v>13</v>
      </c>
      <c r="C888" s="1229" t="s">
        <v>214</v>
      </c>
      <c r="D888" s="1223">
        <v>5514.61</v>
      </c>
      <c r="E888" s="1243" t="str">
        <f t="shared" si="27"/>
        <v>No</v>
      </c>
    </row>
    <row r="889" spans="1:5" ht="12.75">
      <c r="A889" s="1221"/>
      <c r="B889" s="1221">
        <v>14</v>
      </c>
      <c r="C889" s="1229" t="s">
        <v>205</v>
      </c>
      <c r="D889" s="1223">
        <v>11018</v>
      </c>
      <c r="E889" s="1243" t="str">
        <f t="shared" si="27"/>
        <v>No</v>
      </c>
    </row>
    <row r="890" spans="1:5" ht="12.75">
      <c r="A890" s="1221"/>
      <c r="B890" s="1221">
        <v>15</v>
      </c>
      <c r="C890" s="1229" t="s">
        <v>206</v>
      </c>
      <c r="D890" s="1223">
        <v>0</v>
      </c>
      <c r="E890" s="1243" t="str">
        <f t="shared" si="27"/>
        <v>No</v>
      </c>
    </row>
    <row r="891" spans="1:5" ht="12.75">
      <c r="A891" s="1221"/>
      <c r="B891" s="1221">
        <v>16</v>
      </c>
      <c r="C891" s="1229" t="s">
        <v>1167</v>
      </c>
      <c r="D891" s="1223">
        <v>0</v>
      </c>
      <c r="E891" s="1243" t="str">
        <f t="shared" si="27"/>
        <v>No</v>
      </c>
    </row>
    <row r="892" spans="1:5" ht="12.75">
      <c r="A892" s="1221"/>
      <c r="B892" s="1221">
        <v>17</v>
      </c>
      <c r="C892" s="1229" t="s">
        <v>1168</v>
      </c>
      <c r="D892" s="1223">
        <v>4256.91</v>
      </c>
      <c r="E892" s="1243" t="str">
        <f t="shared" si="27"/>
        <v>No</v>
      </c>
    </row>
    <row r="893" spans="1:5" ht="12.75">
      <c r="A893" s="1221"/>
      <c r="B893" s="1221">
        <v>18</v>
      </c>
      <c r="C893" s="1229" t="s">
        <v>1172</v>
      </c>
      <c r="D893" s="1223">
        <v>931.49</v>
      </c>
      <c r="E893" s="1243" t="str">
        <f t="shared" si="27"/>
        <v>No</v>
      </c>
    </row>
    <row r="894" spans="1:5" ht="12.75">
      <c r="A894" s="1221"/>
      <c r="B894" s="1221">
        <v>19</v>
      </c>
      <c r="C894" s="1229" t="s">
        <v>215</v>
      </c>
      <c r="D894" s="1223">
        <v>2178.39</v>
      </c>
      <c r="E894" s="1243" t="str">
        <f t="shared" si="27"/>
        <v>No</v>
      </c>
    </row>
    <row r="895" spans="1:5" ht="12.75">
      <c r="A895" s="1221"/>
      <c r="B895" s="1221">
        <v>20</v>
      </c>
      <c r="C895" s="1229" t="s">
        <v>216</v>
      </c>
      <c r="D895" s="1223">
        <v>906.83</v>
      </c>
      <c r="E895" s="1243" t="str">
        <f t="shared" si="27"/>
        <v>No</v>
      </c>
    </row>
    <row r="896" spans="1:5" ht="12.75">
      <c r="A896" s="1221"/>
      <c r="B896" s="1221">
        <v>21</v>
      </c>
      <c r="C896" s="1229" t="s">
        <v>217</v>
      </c>
      <c r="D896" s="1223">
        <v>571.03</v>
      </c>
      <c r="E896" s="1243" t="str">
        <f t="shared" si="27"/>
        <v>No</v>
      </c>
    </row>
    <row r="897" spans="1:5" ht="12.75">
      <c r="A897" s="1221"/>
      <c r="B897" s="1221">
        <v>22</v>
      </c>
      <c r="C897" s="1229" t="s">
        <v>218</v>
      </c>
      <c r="D897" s="1223">
        <v>0</v>
      </c>
      <c r="E897" s="1243" t="str">
        <f t="shared" si="27"/>
        <v>No</v>
      </c>
    </row>
    <row r="898" spans="1:5" ht="12.75">
      <c r="A898" s="1221"/>
      <c r="B898" s="1221">
        <v>23</v>
      </c>
      <c r="C898" s="1229" t="s">
        <v>219</v>
      </c>
      <c r="D898" s="1223">
        <v>1141.75</v>
      </c>
      <c r="E898" s="1243" t="str">
        <f t="shared" si="27"/>
        <v>No</v>
      </c>
    </row>
    <row r="899" spans="1:5" ht="12.75">
      <c r="A899" s="1221"/>
      <c r="B899" s="1221">
        <v>24</v>
      </c>
      <c r="C899" s="1229" t="s">
        <v>220</v>
      </c>
      <c r="D899" s="1223">
        <v>0</v>
      </c>
      <c r="E899" s="1243" t="str">
        <f t="shared" si="27"/>
        <v>No</v>
      </c>
    </row>
    <row r="900" spans="1:5" ht="12.75">
      <c r="A900" s="1221"/>
      <c r="B900" s="1221">
        <v>32</v>
      </c>
      <c r="C900" s="1229" t="s">
        <v>1169</v>
      </c>
      <c r="D900" s="1223">
        <v>0</v>
      </c>
      <c r="E900" s="1243" t="str">
        <f t="shared" si="27"/>
        <v>No</v>
      </c>
    </row>
    <row r="901" spans="1:5" ht="12.75">
      <c r="A901" s="1221"/>
      <c r="B901" s="1221">
        <v>39</v>
      </c>
      <c r="C901" s="1229" t="s">
        <v>1170</v>
      </c>
      <c r="D901" s="1223">
        <v>3185.16</v>
      </c>
      <c r="E901" s="1243" t="str">
        <f t="shared" si="27"/>
        <v>No</v>
      </c>
    </row>
    <row r="902" spans="1:5" ht="12.75">
      <c r="A902" s="1221"/>
      <c r="B902" s="1221">
        <v>41</v>
      </c>
      <c r="C902" s="1229" t="s">
        <v>207</v>
      </c>
      <c r="D902" s="1223">
        <v>4960.77</v>
      </c>
      <c r="E902" s="1243" t="str">
        <f t="shared" si="27"/>
        <v>No</v>
      </c>
    </row>
    <row r="903" spans="1:5" ht="12.75">
      <c r="A903" s="1221"/>
      <c r="B903" s="1221">
        <v>42</v>
      </c>
      <c r="C903" s="1229" t="s">
        <v>221</v>
      </c>
      <c r="D903" s="1223">
        <v>685.03</v>
      </c>
      <c r="E903" s="1243" t="str">
        <f t="shared" si="27"/>
        <v>No</v>
      </c>
    </row>
    <row r="904" spans="1:5" ht="12.75">
      <c r="A904" s="1221">
        <v>530210</v>
      </c>
      <c r="B904" s="1221" t="s">
        <v>972</v>
      </c>
      <c r="C904" s="1222" t="s">
        <v>234</v>
      </c>
      <c r="D904" s="1223">
        <v>0</v>
      </c>
      <c r="E904" s="1244">
        <f>SUM(D905:D912)</f>
        <v>828441.2800000001</v>
      </c>
    </row>
    <row r="905" spans="1:5" ht="12.75">
      <c r="A905" s="1221"/>
      <c r="B905" s="1221">
        <v>1</v>
      </c>
      <c r="C905" s="1229" t="s">
        <v>212</v>
      </c>
      <c r="D905" s="1223">
        <v>0</v>
      </c>
      <c r="E905" s="1243" t="str">
        <f aca="true" t="shared" si="28" ref="E905:E912">IF(A905&gt;0,D905,"No")</f>
        <v>No</v>
      </c>
    </row>
    <row r="906" spans="1:5" ht="12.75">
      <c r="A906" s="1221"/>
      <c r="B906" s="1221">
        <v>2</v>
      </c>
      <c r="C906" s="1229" t="s">
        <v>213</v>
      </c>
      <c r="D906" s="1223">
        <v>673704.43</v>
      </c>
      <c r="E906" s="1243" t="str">
        <f t="shared" si="28"/>
        <v>No</v>
      </c>
    </row>
    <row r="907" spans="1:5" ht="12.75">
      <c r="A907" s="1221"/>
      <c r="B907" s="1221">
        <v>6</v>
      </c>
      <c r="C907" s="1229" t="s">
        <v>1159</v>
      </c>
      <c r="D907" s="1223">
        <v>0</v>
      </c>
      <c r="E907" s="1243" t="str">
        <f t="shared" si="28"/>
        <v>No</v>
      </c>
    </row>
    <row r="908" spans="1:5" ht="12.75">
      <c r="A908" s="1221"/>
      <c r="B908" s="1221">
        <v>14</v>
      </c>
      <c r="C908" s="1229" t="s">
        <v>205</v>
      </c>
      <c r="D908" s="1223">
        <v>0</v>
      </c>
      <c r="E908" s="1243" t="str">
        <f t="shared" si="28"/>
        <v>No</v>
      </c>
    </row>
    <row r="909" spans="1:5" ht="12.75">
      <c r="A909" s="1221"/>
      <c r="B909" s="1221">
        <v>15</v>
      </c>
      <c r="C909" s="1229" t="s">
        <v>206</v>
      </c>
      <c r="D909" s="1223">
        <v>0</v>
      </c>
      <c r="E909" s="1243" t="str">
        <f t="shared" si="28"/>
        <v>No</v>
      </c>
    </row>
    <row r="910" spans="1:5" ht="12.75">
      <c r="A910" s="1221"/>
      <c r="B910" s="1221">
        <v>18</v>
      </c>
      <c r="C910" s="1229" t="s">
        <v>1172</v>
      </c>
      <c r="D910" s="1223">
        <v>135197.54</v>
      </c>
      <c r="E910" s="1243" t="str">
        <f t="shared" si="28"/>
        <v>No</v>
      </c>
    </row>
    <row r="911" spans="1:5" ht="12.75">
      <c r="A911" s="1221"/>
      <c r="B911" s="1221">
        <v>27</v>
      </c>
      <c r="C911" s="1229" t="s">
        <v>1153</v>
      </c>
      <c r="D911" s="1223">
        <v>0</v>
      </c>
      <c r="E911" s="1243" t="str">
        <f t="shared" si="28"/>
        <v>No</v>
      </c>
    </row>
    <row r="912" spans="1:5" ht="12.75">
      <c r="A912" s="1221"/>
      <c r="B912" s="1221">
        <v>41</v>
      </c>
      <c r="C912" s="1229" t="s">
        <v>207</v>
      </c>
      <c r="D912" s="1223">
        <v>19539.31</v>
      </c>
      <c r="E912" s="1243" t="str">
        <f t="shared" si="28"/>
        <v>No</v>
      </c>
    </row>
    <row r="913" spans="1:5" ht="12.75">
      <c r="A913" s="1221">
        <v>530220</v>
      </c>
      <c r="B913" s="1221" t="s">
        <v>972</v>
      </c>
      <c r="C913" s="1222" t="s">
        <v>235</v>
      </c>
      <c r="D913" s="1223">
        <v>0</v>
      </c>
      <c r="E913" s="1244">
        <f>SUM(D914:D916)</f>
        <v>8552024.7</v>
      </c>
    </row>
    <row r="914" spans="1:5" ht="12.75">
      <c r="A914" s="1221"/>
      <c r="B914" s="1221">
        <v>2</v>
      </c>
      <c r="C914" s="1229" t="s">
        <v>213</v>
      </c>
      <c r="D914" s="1223">
        <v>3710303.35</v>
      </c>
      <c r="E914" s="1243" t="str">
        <f>IF(A914&gt;0,D914,"No")</f>
        <v>No</v>
      </c>
    </row>
    <row r="915" spans="1:5" ht="12.75">
      <c r="A915" s="1221"/>
      <c r="B915" s="1221">
        <v>14</v>
      </c>
      <c r="C915" s="1229" t="s">
        <v>205</v>
      </c>
      <c r="D915" s="1223">
        <v>3618950.28</v>
      </c>
      <c r="E915" s="1243" t="str">
        <f>IF(A915&gt;0,D915,"No")</f>
        <v>No</v>
      </c>
    </row>
    <row r="916" spans="1:5" ht="12.75">
      <c r="A916" s="1221"/>
      <c r="B916" s="1221">
        <v>41</v>
      </c>
      <c r="C916" s="1229" t="s">
        <v>207</v>
      </c>
      <c r="D916" s="1223">
        <v>1222771.07</v>
      </c>
      <c r="E916" s="1243" t="str">
        <f>IF(A916&gt;0,D916,"No")</f>
        <v>No</v>
      </c>
    </row>
    <row r="917" spans="1:5" ht="12.75">
      <c r="A917" s="1221">
        <v>530230</v>
      </c>
      <c r="B917" s="1221" t="s">
        <v>972</v>
      </c>
      <c r="C917" s="1222" t="s">
        <v>236</v>
      </c>
      <c r="D917" s="1223">
        <v>0</v>
      </c>
      <c r="E917" s="1244">
        <f>SUM(D918:D920)</f>
        <v>475892.5</v>
      </c>
    </row>
    <row r="918" spans="1:5" ht="12.75">
      <c r="A918" s="1221"/>
      <c r="B918" s="1221">
        <v>2</v>
      </c>
      <c r="C918" s="1229" t="s">
        <v>213</v>
      </c>
      <c r="D918" s="1223">
        <v>341157</v>
      </c>
      <c r="E918" s="1243" t="str">
        <f>IF(A918&gt;0,D918,"No")</f>
        <v>No</v>
      </c>
    </row>
    <row r="919" spans="1:5" ht="12.75">
      <c r="A919" s="1221"/>
      <c r="B919" s="1221">
        <v>14</v>
      </c>
      <c r="C919" s="1229" t="s">
        <v>205</v>
      </c>
      <c r="D919" s="1223">
        <v>100708.21</v>
      </c>
      <c r="E919" s="1243" t="str">
        <f>IF(A919&gt;0,D919,"No")</f>
        <v>No</v>
      </c>
    </row>
    <row r="920" spans="1:5" ht="12.75">
      <c r="A920" s="1221"/>
      <c r="B920" s="1221">
        <v>41</v>
      </c>
      <c r="C920" s="1229" t="s">
        <v>207</v>
      </c>
      <c r="D920" s="1223">
        <v>34027.29</v>
      </c>
      <c r="E920" s="1243" t="str">
        <f>IF(A920&gt;0,D920,"No")</f>
        <v>No</v>
      </c>
    </row>
    <row r="921" spans="1:5" ht="12.75">
      <c r="A921" s="1221">
        <v>530240</v>
      </c>
      <c r="B921" s="1221" t="s">
        <v>972</v>
      </c>
      <c r="C921" s="1222" t="s">
        <v>237</v>
      </c>
      <c r="D921" s="1223">
        <v>0</v>
      </c>
      <c r="E921" s="1244">
        <f>SUM(D922:D935)</f>
        <v>4380122.51</v>
      </c>
    </row>
    <row r="922" spans="1:5" ht="12.75">
      <c r="A922" s="1221"/>
      <c r="B922" s="1221">
        <v>4</v>
      </c>
      <c r="C922" s="1229" t="s">
        <v>1157</v>
      </c>
      <c r="D922" s="1223">
        <v>0</v>
      </c>
      <c r="E922" s="1243" t="str">
        <f aca="true" t="shared" si="29" ref="E922:E935">IF(A922&gt;0,D922,"No")</f>
        <v>No</v>
      </c>
    </row>
    <row r="923" spans="1:5" ht="12.75">
      <c r="A923" s="1221"/>
      <c r="B923" s="1221">
        <v>11</v>
      </c>
      <c r="C923" s="1229" t="s">
        <v>1163</v>
      </c>
      <c r="D923" s="1223">
        <v>0</v>
      </c>
      <c r="E923" s="1243" t="str">
        <f t="shared" si="29"/>
        <v>No</v>
      </c>
    </row>
    <row r="924" spans="1:5" ht="12.75">
      <c r="A924" s="1221"/>
      <c r="B924" s="1221">
        <v>15</v>
      </c>
      <c r="C924" s="1229" t="s">
        <v>206</v>
      </c>
      <c r="D924" s="1223">
        <v>601901.74</v>
      </c>
      <c r="E924" s="1243" t="str">
        <f t="shared" si="29"/>
        <v>No</v>
      </c>
    </row>
    <row r="925" spans="1:5" ht="12.75">
      <c r="A925" s="1221"/>
      <c r="B925" s="1221">
        <v>16</v>
      </c>
      <c r="C925" s="1229" t="s">
        <v>1167</v>
      </c>
      <c r="D925" s="1223">
        <v>0</v>
      </c>
      <c r="E925" s="1243" t="str">
        <f t="shared" si="29"/>
        <v>No</v>
      </c>
    </row>
    <row r="926" spans="1:5" ht="12.75">
      <c r="A926" s="1221"/>
      <c r="B926" s="1221">
        <v>17</v>
      </c>
      <c r="C926" s="1229" t="s">
        <v>1168</v>
      </c>
      <c r="D926" s="1223">
        <v>0</v>
      </c>
      <c r="E926" s="1243" t="str">
        <f t="shared" si="29"/>
        <v>No</v>
      </c>
    </row>
    <row r="927" spans="1:5" ht="12.75">
      <c r="A927" s="1221"/>
      <c r="B927" s="1221">
        <v>18</v>
      </c>
      <c r="C927" s="1229" t="s">
        <v>1172</v>
      </c>
      <c r="D927" s="1223">
        <v>107202.63</v>
      </c>
      <c r="E927" s="1243" t="str">
        <f t="shared" si="29"/>
        <v>No</v>
      </c>
    </row>
    <row r="928" spans="1:5" ht="12.75">
      <c r="A928" s="1221"/>
      <c r="B928" s="1221">
        <v>19</v>
      </c>
      <c r="C928" s="1229" t="s">
        <v>215</v>
      </c>
      <c r="D928" s="1223">
        <v>1774117</v>
      </c>
      <c r="E928" s="1243" t="str">
        <f t="shared" si="29"/>
        <v>No</v>
      </c>
    </row>
    <row r="929" spans="1:5" ht="12.75">
      <c r="A929" s="1221"/>
      <c r="B929" s="1221">
        <v>20</v>
      </c>
      <c r="C929" s="1229" t="s">
        <v>216</v>
      </c>
      <c r="D929" s="1223">
        <v>87801.58</v>
      </c>
      <c r="E929" s="1243" t="str">
        <f t="shared" si="29"/>
        <v>No</v>
      </c>
    </row>
    <row r="930" spans="1:5" ht="12.75">
      <c r="A930" s="1221"/>
      <c r="B930" s="1221">
        <v>32</v>
      </c>
      <c r="C930" s="1229" t="s">
        <v>1169</v>
      </c>
      <c r="D930" s="1223">
        <v>553665.09</v>
      </c>
      <c r="E930" s="1243" t="str">
        <f t="shared" si="29"/>
        <v>No</v>
      </c>
    </row>
    <row r="931" spans="1:5" ht="12.75">
      <c r="A931" s="1221"/>
      <c r="B931" s="1221">
        <v>38</v>
      </c>
      <c r="C931" s="1229" t="s">
        <v>255</v>
      </c>
      <c r="D931" s="1223">
        <v>0</v>
      </c>
      <c r="E931" s="1243" t="str">
        <f t="shared" si="29"/>
        <v>No</v>
      </c>
    </row>
    <row r="932" spans="1:5" ht="12.75">
      <c r="A932" s="1221"/>
      <c r="B932" s="1221">
        <v>39</v>
      </c>
      <c r="C932" s="1229" t="s">
        <v>1170</v>
      </c>
      <c r="D932" s="1223">
        <v>0</v>
      </c>
      <c r="E932" s="1243" t="str">
        <f t="shared" si="29"/>
        <v>No</v>
      </c>
    </row>
    <row r="933" spans="1:5" ht="12.75">
      <c r="A933" s="1221"/>
      <c r="B933" s="1221">
        <v>41</v>
      </c>
      <c r="C933" s="1229" t="s">
        <v>207</v>
      </c>
      <c r="D933" s="1223">
        <v>622846.61</v>
      </c>
      <c r="E933" s="1243" t="str">
        <f t="shared" si="29"/>
        <v>No</v>
      </c>
    </row>
    <row r="934" spans="1:5" ht="12.75">
      <c r="A934" s="1221"/>
      <c r="B934" s="1221">
        <v>42</v>
      </c>
      <c r="C934" s="1229" t="s">
        <v>221</v>
      </c>
      <c r="D934" s="1223">
        <v>604540.2</v>
      </c>
      <c r="E934" s="1243" t="str">
        <f t="shared" si="29"/>
        <v>No</v>
      </c>
    </row>
    <row r="935" spans="1:5" ht="12.75">
      <c r="A935" s="1221"/>
      <c r="B935" s="1221">
        <v>43</v>
      </c>
      <c r="C935" s="1229" t="s">
        <v>959</v>
      </c>
      <c r="D935" s="1223">
        <v>28047.66</v>
      </c>
      <c r="E935" s="1243" t="str">
        <f t="shared" si="29"/>
        <v>No</v>
      </c>
    </row>
    <row r="936" spans="1:5" ht="12.75">
      <c r="A936" s="1221">
        <v>530250</v>
      </c>
      <c r="B936" s="1221" t="s">
        <v>972</v>
      </c>
      <c r="C936" s="1222" t="s">
        <v>238</v>
      </c>
      <c r="D936" s="1223">
        <v>0</v>
      </c>
      <c r="E936" s="1244">
        <f>SUM(D937:D940)</f>
        <v>179502</v>
      </c>
    </row>
    <row r="937" spans="1:5" ht="12.75">
      <c r="A937" s="1221"/>
      <c r="B937" s="1221">
        <v>2</v>
      </c>
      <c r="C937" s="1229" t="s">
        <v>213</v>
      </c>
      <c r="D937" s="1223">
        <v>119668</v>
      </c>
      <c r="E937" s="1243" t="str">
        <f>IF(A937&gt;0,D937,"No")</f>
        <v>No</v>
      </c>
    </row>
    <row r="938" spans="1:5" ht="12.75">
      <c r="A938" s="1221"/>
      <c r="B938" s="1221">
        <v>14</v>
      </c>
      <c r="C938" s="1229" t="s">
        <v>205</v>
      </c>
      <c r="D938" s="1223">
        <v>44722.99</v>
      </c>
      <c r="E938" s="1243" t="str">
        <f>IF(A938&gt;0,D938,"No")</f>
        <v>No</v>
      </c>
    </row>
    <row r="939" spans="1:5" ht="12.75">
      <c r="A939" s="1221"/>
      <c r="B939" s="1221">
        <v>25</v>
      </c>
      <c r="C939" s="1229" t="s">
        <v>1176</v>
      </c>
      <c r="D939" s="1223">
        <v>0</v>
      </c>
      <c r="E939" s="1243" t="str">
        <f>IF(A939&gt;0,D939,"No")</f>
        <v>No</v>
      </c>
    </row>
    <row r="940" spans="1:5" ht="12.75">
      <c r="A940" s="1221"/>
      <c r="B940" s="1221">
        <v>41</v>
      </c>
      <c r="C940" s="1229" t="s">
        <v>207</v>
      </c>
      <c r="D940" s="1223">
        <v>15111.01</v>
      </c>
      <c r="E940" s="1243" t="str">
        <f>IF(A940&gt;0,D940,"No")</f>
        <v>No</v>
      </c>
    </row>
    <row r="941" spans="1:5" ht="12.75">
      <c r="A941" s="1221">
        <v>530260</v>
      </c>
      <c r="B941" s="1221" t="s">
        <v>972</v>
      </c>
      <c r="C941" s="1222" t="s">
        <v>239</v>
      </c>
      <c r="D941" s="1223">
        <v>0</v>
      </c>
      <c r="E941" s="1244">
        <f>SUM(D942:D969)</f>
        <v>373739</v>
      </c>
    </row>
    <row r="942" spans="1:5" ht="12.75">
      <c r="A942" s="1221"/>
      <c r="B942" s="1221">
        <v>1</v>
      </c>
      <c r="C942" s="1229" t="s">
        <v>212</v>
      </c>
      <c r="D942" s="1232">
        <v>7389</v>
      </c>
      <c r="E942" s="1243" t="str">
        <f aca="true" t="shared" si="30" ref="E942:E969">IF(A942&gt;0,D942,"No")</f>
        <v>No</v>
      </c>
    </row>
    <row r="943" spans="1:5" ht="12.75">
      <c r="A943" s="1221"/>
      <c r="B943" s="1221">
        <v>2</v>
      </c>
      <c r="C943" s="1229" t="s">
        <v>213</v>
      </c>
      <c r="D943" s="1232">
        <v>19148</v>
      </c>
      <c r="E943" s="1243" t="str">
        <f t="shared" si="30"/>
        <v>No</v>
      </c>
    </row>
    <row r="944" spans="1:5" ht="12.75">
      <c r="A944" s="1221"/>
      <c r="B944" s="1221">
        <v>3</v>
      </c>
      <c r="C944" s="1229" t="s">
        <v>1156</v>
      </c>
      <c r="D944" s="1232">
        <v>0</v>
      </c>
      <c r="E944" s="1243" t="str">
        <f t="shared" si="30"/>
        <v>No</v>
      </c>
    </row>
    <row r="945" spans="1:5" ht="12.75">
      <c r="A945" s="1221"/>
      <c r="B945" s="1221">
        <v>4</v>
      </c>
      <c r="C945" s="1229" t="s">
        <v>1157</v>
      </c>
      <c r="D945" s="1232">
        <v>89458</v>
      </c>
      <c r="E945" s="1243" t="str">
        <f t="shared" si="30"/>
        <v>No</v>
      </c>
    </row>
    <row r="946" spans="1:5" ht="12.75">
      <c r="A946" s="1221"/>
      <c r="B946" s="1221">
        <v>5</v>
      </c>
      <c r="C946" s="1229" t="s">
        <v>204</v>
      </c>
      <c r="D946" s="1232">
        <v>27159</v>
      </c>
      <c r="E946" s="1243" t="str">
        <f t="shared" si="30"/>
        <v>No</v>
      </c>
    </row>
    <row r="947" spans="1:5" ht="12.75">
      <c r="A947" s="1221"/>
      <c r="B947" s="1221">
        <v>6</v>
      </c>
      <c r="C947" s="1229" t="s">
        <v>1159</v>
      </c>
      <c r="D947" s="1232">
        <v>25466</v>
      </c>
      <c r="E947" s="1243" t="str">
        <f t="shared" si="30"/>
        <v>No</v>
      </c>
    </row>
    <row r="948" spans="1:5" ht="12.75">
      <c r="A948" s="1221"/>
      <c r="B948" s="1221">
        <v>7</v>
      </c>
      <c r="C948" s="1229" t="s">
        <v>1160</v>
      </c>
      <c r="D948" s="1232">
        <v>15469</v>
      </c>
      <c r="E948" s="1243" t="str">
        <f t="shared" si="30"/>
        <v>No</v>
      </c>
    </row>
    <row r="949" spans="1:5" ht="12.75">
      <c r="A949" s="1221"/>
      <c r="B949" s="1221">
        <v>8</v>
      </c>
      <c r="C949" s="1229" t="s">
        <v>1181</v>
      </c>
      <c r="D949" s="1232">
        <v>0</v>
      </c>
      <c r="E949" s="1243" t="str">
        <f t="shared" si="30"/>
        <v>No</v>
      </c>
    </row>
    <row r="950" spans="1:5" ht="12.75">
      <c r="A950" s="1221"/>
      <c r="B950" s="1221">
        <v>9</v>
      </c>
      <c r="C950" s="1229" t="s">
        <v>1161</v>
      </c>
      <c r="D950" s="1232">
        <v>0</v>
      </c>
      <c r="E950" s="1243" t="str">
        <f t="shared" si="30"/>
        <v>No</v>
      </c>
    </row>
    <row r="951" spans="1:5" ht="12.75">
      <c r="A951" s="1221"/>
      <c r="B951" s="1221">
        <v>10</v>
      </c>
      <c r="C951" s="1229" t="s">
        <v>1162</v>
      </c>
      <c r="D951" s="1232">
        <v>27254</v>
      </c>
      <c r="E951" s="1243" t="str">
        <f t="shared" si="30"/>
        <v>No</v>
      </c>
    </row>
    <row r="952" spans="1:5" ht="12.75">
      <c r="A952" s="1221"/>
      <c r="B952" s="1221">
        <v>11</v>
      </c>
      <c r="C952" s="1229" t="s">
        <v>1163</v>
      </c>
      <c r="D952" s="1232">
        <v>0</v>
      </c>
      <c r="E952" s="1243" t="str">
        <f t="shared" si="30"/>
        <v>No</v>
      </c>
    </row>
    <row r="953" spans="1:5" ht="12.75">
      <c r="A953" s="1221"/>
      <c r="B953" s="1221">
        <v>12</v>
      </c>
      <c r="C953" s="1229" t="s">
        <v>1164</v>
      </c>
      <c r="D953" s="1232">
        <v>0</v>
      </c>
      <c r="E953" s="1243" t="str">
        <f t="shared" si="30"/>
        <v>No</v>
      </c>
    </row>
    <row r="954" spans="1:5" ht="12.75">
      <c r="A954" s="1221"/>
      <c r="B954" s="1221">
        <v>13</v>
      </c>
      <c r="C954" s="1229" t="s">
        <v>214</v>
      </c>
      <c r="D954" s="1232">
        <v>25758.3</v>
      </c>
      <c r="E954" s="1243" t="str">
        <f t="shared" si="30"/>
        <v>No</v>
      </c>
    </row>
    <row r="955" spans="1:5" ht="12.75">
      <c r="A955" s="1221"/>
      <c r="B955" s="1221">
        <v>14</v>
      </c>
      <c r="C955" s="1229" t="s">
        <v>205</v>
      </c>
      <c r="D955" s="1232">
        <v>53838.16</v>
      </c>
      <c r="E955" s="1243" t="str">
        <f t="shared" si="30"/>
        <v>No</v>
      </c>
    </row>
    <row r="956" spans="1:5" ht="12.75">
      <c r="A956" s="1221"/>
      <c r="B956" s="1221">
        <v>15</v>
      </c>
      <c r="C956" s="1229" t="s">
        <v>206</v>
      </c>
      <c r="D956" s="1232">
        <v>0</v>
      </c>
      <c r="E956" s="1243" t="str">
        <f t="shared" si="30"/>
        <v>No</v>
      </c>
    </row>
    <row r="957" spans="1:5" ht="12.75">
      <c r="A957" s="1221"/>
      <c r="B957" s="1221">
        <v>16</v>
      </c>
      <c r="C957" s="1229" t="s">
        <v>1167</v>
      </c>
      <c r="D957" s="1232">
        <v>0</v>
      </c>
      <c r="E957" s="1243" t="str">
        <f t="shared" si="30"/>
        <v>No</v>
      </c>
    </row>
    <row r="958" spans="1:5" ht="12.75">
      <c r="A958" s="1221"/>
      <c r="B958" s="1221">
        <v>17</v>
      </c>
      <c r="C958" s="1229" t="s">
        <v>1168</v>
      </c>
      <c r="D958" s="1232">
        <v>18615</v>
      </c>
      <c r="E958" s="1243" t="str">
        <f t="shared" si="30"/>
        <v>No</v>
      </c>
    </row>
    <row r="959" spans="1:5" ht="12.75">
      <c r="A959" s="1221"/>
      <c r="B959" s="1221">
        <v>18</v>
      </c>
      <c r="C959" s="1229" t="s">
        <v>1172</v>
      </c>
      <c r="D959" s="1232">
        <v>4309.21</v>
      </c>
      <c r="E959" s="1243" t="str">
        <f t="shared" si="30"/>
        <v>No</v>
      </c>
    </row>
    <row r="960" spans="1:5" ht="12.75">
      <c r="A960" s="1221"/>
      <c r="B960" s="1221">
        <v>19</v>
      </c>
      <c r="C960" s="1229" t="s">
        <v>215</v>
      </c>
      <c r="D960" s="1232">
        <v>10610</v>
      </c>
      <c r="E960" s="1243" t="str">
        <f t="shared" si="30"/>
        <v>No</v>
      </c>
    </row>
    <row r="961" spans="1:5" ht="12.75">
      <c r="A961" s="1221"/>
      <c r="B961" s="1221">
        <v>20</v>
      </c>
      <c r="C961" s="1229" t="s">
        <v>216</v>
      </c>
      <c r="D961" s="1232">
        <v>7014.08</v>
      </c>
      <c r="E961" s="1243" t="str">
        <f t="shared" si="30"/>
        <v>No</v>
      </c>
    </row>
    <row r="962" spans="1:5" ht="12.75">
      <c r="A962" s="1221"/>
      <c r="B962" s="1221">
        <v>21</v>
      </c>
      <c r="C962" s="1229" t="s">
        <v>217</v>
      </c>
      <c r="D962" s="1232">
        <v>7215</v>
      </c>
      <c r="E962" s="1243" t="str">
        <f t="shared" si="30"/>
        <v>No</v>
      </c>
    </row>
    <row r="963" spans="1:5" ht="12.75">
      <c r="A963" s="1221"/>
      <c r="B963" s="1221">
        <v>22</v>
      </c>
      <c r="C963" s="1229" t="s">
        <v>218</v>
      </c>
      <c r="D963" s="1232">
        <v>0</v>
      </c>
      <c r="E963" s="1243" t="str">
        <f t="shared" si="30"/>
        <v>No</v>
      </c>
    </row>
    <row r="964" spans="1:5" ht="12.75">
      <c r="A964" s="1221"/>
      <c r="B964" s="1221">
        <v>23</v>
      </c>
      <c r="C964" s="1229" t="s">
        <v>219</v>
      </c>
      <c r="D964" s="1232">
        <v>0</v>
      </c>
      <c r="E964" s="1243" t="str">
        <f t="shared" si="30"/>
        <v>No</v>
      </c>
    </row>
    <row r="965" spans="1:5" ht="12.75">
      <c r="A965" s="1221"/>
      <c r="B965" s="1221">
        <v>24</v>
      </c>
      <c r="C965" s="1229" t="s">
        <v>220</v>
      </c>
      <c r="D965" s="1232">
        <v>0</v>
      </c>
      <c r="E965" s="1243" t="str">
        <f t="shared" si="30"/>
        <v>No</v>
      </c>
    </row>
    <row r="966" spans="1:5" ht="12.75">
      <c r="A966" s="1221"/>
      <c r="B966" s="1221">
        <v>32</v>
      </c>
      <c r="C966" s="1229" t="s">
        <v>1169</v>
      </c>
      <c r="D966" s="1232">
        <v>0</v>
      </c>
      <c r="E966" s="1243" t="str">
        <f t="shared" si="30"/>
        <v>No</v>
      </c>
    </row>
    <row r="967" spans="1:5" ht="12.75">
      <c r="A967" s="1221"/>
      <c r="B967" s="1221">
        <v>39</v>
      </c>
      <c r="C967" s="1229" t="s">
        <v>1170</v>
      </c>
      <c r="D967" s="1232">
        <v>6421</v>
      </c>
      <c r="E967" s="1243" t="str">
        <f t="shared" si="30"/>
        <v>No</v>
      </c>
    </row>
    <row r="968" spans="1:5" ht="12.75">
      <c r="A968" s="1221"/>
      <c r="B968" s="1221">
        <v>41</v>
      </c>
      <c r="C968" s="1229" t="s">
        <v>207</v>
      </c>
      <c r="D968" s="1232">
        <v>24906.25</v>
      </c>
      <c r="E968" s="1243" t="str">
        <f t="shared" si="30"/>
        <v>No</v>
      </c>
    </row>
    <row r="969" spans="1:5" ht="12.75">
      <c r="A969" s="1221"/>
      <c r="B969" s="1221">
        <v>42</v>
      </c>
      <c r="C969" s="1229" t="s">
        <v>221</v>
      </c>
      <c r="D969" s="1232">
        <v>3709</v>
      </c>
      <c r="E969" s="1243" t="str">
        <f t="shared" si="30"/>
        <v>No</v>
      </c>
    </row>
    <row r="970" spans="1:5" ht="12.75">
      <c r="A970" s="1221">
        <v>530261</v>
      </c>
      <c r="B970" s="1221" t="s">
        <v>972</v>
      </c>
      <c r="C970" s="1222" t="s">
        <v>240</v>
      </c>
      <c r="D970" s="1223">
        <v>0</v>
      </c>
      <c r="E970" s="1244">
        <f>SUM(D971:D993)</f>
        <v>376540.75</v>
      </c>
    </row>
    <row r="971" spans="1:5" ht="12.75">
      <c r="A971" s="1221"/>
      <c r="B971" s="1221">
        <v>1</v>
      </c>
      <c r="C971" s="1229" t="s">
        <v>212</v>
      </c>
      <c r="D971" s="1223">
        <v>10837.5</v>
      </c>
      <c r="E971" s="1243" t="str">
        <f aca="true" t="shared" si="31" ref="E971:E993">IF(A971&gt;0,D971,"No")</f>
        <v>No</v>
      </c>
    </row>
    <row r="972" spans="1:5" ht="12.75">
      <c r="A972" s="1221"/>
      <c r="B972" s="1221">
        <v>2</v>
      </c>
      <c r="C972" s="1229" t="s">
        <v>213</v>
      </c>
      <c r="D972" s="1223">
        <v>28890</v>
      </c>
      <c r="E972" s="1243" t="str">
        <f t="shared" si="31"/>
        <v>No</v>
      </c>
    </row>
    <row r="973" spans="1:5" ht="12.75">
      <c r="A973" s="1221"/>
      <c r="B973" s="1221">
        <v>3</v>
      </c>
      <c r="C973" s="1229" t="s">
        <v>1156</v>
      </c>
      <c r="D973" s="1223">
        <v>0</v>
      </c>
      <c r="E973" s="1243" t="str">
        <f t="shared" si="31"/>
        <v>No</v>
      </c>
    </row>
    <row r="974" spans="1:5" ht="12.75">
      <c r="A974" s="1221"/>
      <c r="B974" s="1221">
        <v>4</v>
      </c>
      <c r="C974" s="1229" t="s">
        <v>1157</v>
      </c>
      <c r="D974" s="1223">
        <v>87175</v>
      </c>
      <c r="E974" s="1243" t="str">
        <f t="shared" si="31"/>
        <v>No</v>
      </c>
    </row>
    <row r="975" spans="1:5" ht="12.75">
      <c r="A975" s="1221"/>
      <c r="B975" s="1221">
        <v>5</v>
      </c>
      <c r="C975" s="1229" t="s">
        <v>204</v>
      </c>
      <c r="D975" s="1223">
        <v>18129.75</v>
      </c>
      <c r="E975" s="1243" t="str">
        <f t="shared" si="31"/>
        <v>No</v>
      </c>
    </row>
    <row r="976" spans="1:5" ht="12.75">
      <c r="A976" s="1221"/>
      <c r="B976" s="1221">
        <v>6</v>
      </c>
      <c r="C976" s="1229" t="s">
        <v>1159</v>
      </c>
      <c r="D976" s="1223">
        <v>26053</v>
      </c>
      <c r="E976" s="1243" t="str">
        <f t="shared" si="31"/>
        <v>No</v>
      </c>
    </row>
    <row r="977" spans="1:5" ht="12.75">
      <c r="A977" s="1221"/>
      <c r="B977" s="1221">
        <v>7</v>
      </c>
      <c r="C977" s="1229" t="s">
        <v>1160</v>
      </c>
      <c r="D977" s="1223">
        <v>17023.5</v>
      </c>
      <c r="E977" s="1243" t="str">
        <f t="shared" si="31"/>
        <v>No</v>
      </c>
    </row>
    <row r="978" spans="1:5" ht="12.75">
      <c r="A978" s="1221"/>
      <c r="B978" s="1221">
        <v>9</v>
      </c>
      <c r="C978" s="1229" t="s">
        <v>1161</v>
      </c>
      <c r="D978" s="1223">
        <v>0</v>
      </c>
      <c r="E978" s="1243" t="str">
        <f t="shared" si="31"/>
        <v>No</v>
      </c>
    </row>
    <row r="979" spans="1:5" ht="12.75">
      <c r="A979" s="1221"/>
      <c r="B979" s="1221">
        <v>10</v>
      </c>
      <c r="C979" s="1229" t="s">
        <v>1162</v>
      </c>
      <c r="D979" s="1223">
        <v>17984.75</v>
      </c>
      <c r="E979" s="1243" t="str">
        <f t="shared" si="31"/>
        <v>No</v>
      </c>
    </row>
    <row r="980" spans="1:5" ht="12.75">
      <c r="A980" s="1221"/>
      <c r="B980" s="1221">
        <v>11</v>
      </c>
      <c r="C980" s="1229" t="s">
        <v>1163</v>
      </c>
      <c r="D980" s="1223">
        <v>0</v>
      </c>
      <c r="E980" s="1243" t="str">
        <f t="shared" si="31"/>
        <v>No</v>
      </c>
    </row>
    <row r="981" spans="1:5" ht="12.75">
      <c r="A981" s="1221"/>
      <c r="B981" s="1221">
        <v>13</v>
      </c>
      <c r="C981" s="1229" t="s">
        <v>214</v>
      </c>
      <c r="D981" s="1223">
        <v>31528.82</v>
      </c>
      <c r="E981" s="1243" t="str">
        <f t="shared" si="31"/>
        <v>No</v>
      </c>
    </row>
    <row r="982" spans="1:5" ht="12.75">
      <c r="A982" s="1221"/>
      <c r="B982" s="1221">
        <v>14</v>
      </c>
      <c r="C982" s="1229" t="s">
        <v>205</v>
      </c>
      <c r="D982" s="1223">
        <v>48039.06</v>
      </c>
      <c r="E982" s="1243" t="str">
        <f t="shared" si="31"/>
        <v>No</v>
      </c>
    </row>
    <row r="983" spans="1:5" ht="12.75">
      <c r="A983" s="1221"/>
      <c r="B983" s="1221">
        <v>15</v>
      </c>
      <c r="C983" s="1229" t="s">
        <v>206</v>
      </c>
      <c r="D983" s="1223">
        <v>0</v>
      </c>
      <c r="E983" s="1243" t="str">
        <f t="shared" si="31"/>
        <v>No</v>
      </c>
    </row>
    <row r="984" spans="1:5" ht="12.75">
      <c r="A984" s="1221"/>
      <c r="B984" s="1221">
        <v>17</v>
      </c>
      <c r="C984" s="1229" t="s">
        <v>1168</v>
      </c>
      <c r="D984" s="1223">
        <v>23029</v>
      </c>
      <c r="E984" s="1243" t="str">
        <f t="shared" si="31"/>
        <v>No</v>
      </c>
    </row>
    <row r="985" spans="1:5" ht="12.75">
      <c r="A985" s="1221"/>
      <c r="B985" s="1221">
        <v>18</v>
      </c>
      <c r="C985" s="1229" t="s">
        <v>1172</v>
      </c>
      <c r="D985" s="1223">
        <v>4712.88</v>
      </c>
      <c r="E985" s="1243" t="str">
        <f t="shared" si="31"/>
        <v>No</v>
      </c>
    </row>
    <row r="986" spans="1:5" ht="12.75">
      <c r="A986" s="1221"/>
      <c r="B986" s="1221">
        <v>19</v>
      </c>
      <c r="C986" s="1229" t="s">
        <v>215</v>
      </c>
      <c r="D986" s="1223">
        <v>9711</v>
      </c>
      <c r="E986" s="1243" t="str">
        <f t="shared" si="31"/>
        <v>No</v>
      </c>
    </row>
    <row r="987" spans="1:5" ht="12.75">
      <c r="A987" s="1221"/>
      <c r="B987" s="1221">
        <v>20</v>
      </c>
      <c r="C987" s="1229" t="s">
        <v>216</v>
      </c>
      <c r="D987" s="1223">
        <v>9274.37</v>
      </c>
      <c r="E987" s="1243" t="str">
        <f t="shared" si="31"/>
        <v>No</v>
      </c>
    </row>
    <row r="988" spans="1:5" ht="12.75">
      <c r="A988" s="1221"/>
      <c r="B988" s="1221">
        <v>21</v>
      </c>
      <c r="C988" s="1229" t="s">
        <v>217</v>
      </c>
      <c r="D988" s="1223">
        <v>10536</v>
      </c>
      <c r="E988" s="1243" t="str">
        <f t="shared" si="31"/>
        <v>No</v>
      </c>
    </row>
    <row r="989" spans="1:5" ht="12.75">
      <c r="A989" s="1221"/>
      <c r="B989" s="1221">
        <v>23</v>
      </c>
      <c r="C989" s="1229" t="s">
        <v>219</v>
      </c>
      <c r="D989" s="1223">
        <v>0</v>
      </c>
      <c r="E989" s="1243" t="str">
        <f t="shared" si="31"/>
        <v>No</v>
      </c>
    </row>
    <row r="990" spans="1:5" ht="12.75">
      <c r="A990" s="1221"/>
      <c r="B990" s="1221">
        <v>24</v>
      </c>
      <c r="C990" s="1229" t="s">
        <v>220</v>
      </c>
      <c r="D990" s="1223">
        <v>0</v>
      </c>
      <c r="E990" s="1243" t="str">
        <f t="shared" si="31"/>
        <v>No</v>
      </c>
    </row>
    <row r="991" spans="1:5" ht="12.75">
      <c r="A991" s="1221"/>
      <c r="B991" s="1221">
        <v>39</v>
      </c>
      <c r="C991" s="1229" t="s">
        <v>1170</v>
      </c>
      <c r="D991" s="1223">
        <v>5387.5</v>
      </c>
      <c r="E991" s="1243" t="str">
        <f t="shared" si="31"/>
        <v>No</v>
      </c>
    </row>
    <row r="992" spans="1:5" ht="12.75">
      <c r="A992" s="1221"/>
      <c r="B992" s="1221">
        <v>41</v>
      </c>
      <c r="C992" s="1229" t="s">
        <v>207</v>
      </c>
      <c r="D992" s="1223">
        <v>24602.87</v>
      </c>
      <c r="E992" s="1243" t="str">
        <f t="shared" si="31"/>
        <v>No</v>
      </c>
    </row>
    <row r="993" spans="1:5" ht="12.75">
      <c r="A993" s="1221"/>
      <c r="B993" s="1221">
        <v>42</v>
      </c>
      <c r="C993" s="1229" t="s">
        <v>221</v>
      </c>
      <c r="D993" s="1223">
        <v>3625.75</v>
      </c>
      <c r="E993" s="1243" t="str">
        <f t="shared" si="31"/>
        <v>No</v>
      </c>
    </row>
    <row r="994" spans="1:5" ht="12.75">
      <c r="A994" s="1221">
        <v>530270</v>
      </c>
      <c r="B994" s="1221" t="s">
        <v>972</v>
      </c>
      <c r="C994" s="1222" t="s">
        <v>241</v>
      </c>
      <c r="D994" s="1223">
        <v>0</v>
      </c>
      <c r="E994" s="1244">
        <f>SUM(D995:D996)</f>
        <v>319764.5</v>
      </c>
    </row>
    <row r="995" spans="1:5" ht="12.75">
      <c r="A995" s="1221"/>
      <c r="B995" s="1221">
        <v>31</v>
      </c>
      <c r="C995" s="1229" t="s">
        <v>1179</v>
      </c>
      <c r="D995" s="1223">
        <v>279386.42</v>
      </c>
      <c r="E995" s="1243" t="str">
        <f>IF(A995&gt;0,D995,"No")</f>
        <v>No</v>
      </c>
    </row>
    <row r="996" spans="1:5" ht="12.75">
      <c r="A996" s="1221"/>
      <c r="B996" s="1221">
        <v>41</v>
      </c>
      <c r="C996" s="1229" t="s">
        <v>207</v>
      </c>
      <c r="D996" s="1223">
        <v>40378.08</v>
      </c>
      <c r="E996" s="1243" t="str">
        <f>IF(A996&gt;0,D996,"No")</f>
        <v>No</v>
      </c>
    </row>
    <row r="997" spans="1:5" ht="12.75">
      <c r="A997" s="1221">
        <v>530280</v>
      </c>
      <c r="B997" s="1221" t="s">
        <v>972</v>
      </c>
      <c r="C997" s="1240" t="s">
        <v>975</v>
      </c>
      <c r="D997" s="1223">
        <v>0</v>
      </c>
      <c r="E997" s="1243">
        <f>IF(A997&gt;0,D997,"No")</f>
        <v>0</v>
      </c>
    </row>
    <row r="998" spans="1:5" ht="12.75">
      <c r="A998" s="1221">
        <v>530290</v>
      </c>
      <c r="B998" s="1221" t="s">
        <v>972</v>
      </c>
      <c r="C998" s="1222" t="s">
        <v>242</v>
      </c>
      <c r="D998" s="1223">
        <v>0</v>
      </c>
      <c r="E998" s="1244">
        <f>SUM(D999)</f>
        <v>1534487.98</v>
      </c>
    </row>
    <row r="999" spans="1:5" ht="12.75">
      <c r="A999" s="1221"/>
      <c r="B999" s="1221">
        <v>3</v>
      </c>
      <c r="C999" s="1229" t="s">
        <v>1156</v>
      </c>
      <c r="D999" s="1223">
        <v>1534487.98</v>
      </c>
      <c r="E999" s="1243" t="str">
        <f>IF(A999&gt;0,D999,"No")</f>
        <v>No</v>
      </c>
    </row>
    <row r="1000" spans="1:5" ht="12.75">
      <c r="A1000" s="1221">
        <v>530300</v>
      </c>
      <c r="B1000" s="1221" t="s">
        <v>972</v>
      </c>
      <c r="C1000" s="1222" t="s">
        <v>243</v>
      </c>
      <c r="D1000" s="1223">
        <v>0</v>
      </c>
      <c r="E1000" s="1244">
        <f>SUM(D1001:D1004)</f>
        <v>0</v>
      </c>
    </row>
    <row r="1001" spans="1:5" ht="12.75">
      <c r="A1001" s="1221"/>
      <c r="B1001" s="1221">
        <v>2</v>
      </c>
      <c r="C1001" s="1229" t="s">
        <v>213</v>
      </c>
      <c r="D1001" s="1223">
        <v>0</v>
      </c>
      <c r="E1001" s="1243" t="str">
        <f>IF(A1001&gt;0,D1001,"No")</f>
        <v>No</v>
      </c>
    </row>
    <row r="1002" spans="1:5" ht="12.75">
      <c r="A1002" s="1221"/>
      <c r="B1002" s="1221">
        <v>14</v>
      </c>
      <c r="C1002" s="1229" t="s">
        <v>205</v>
      </c>
      <c r="D1002" s="1223">
        <v>0</v>
      </c>
      <c r="E1002" s="1243" t="str">
        <f>IF(A1002&gt;0,D1002,"No")</f>
        <v>No</v>
      </c>
    </row>
    <row r="1003" spans="1:5" ht="12.75">
      <c r="A1003" s="1221"/>
      <c r="B1003" s="1221">
        <v>27</v>
      </c>
      <c r="C1003" s="1229" t="s">
        <v>1153</v>
      </c>
      <c r="D1003" s="1223">
        <v>0</v>
      </c>
      <c r="E1003" s="1243" t="str">
        <f>IF(A1003&gt;0,D1003,"No")</f>
        <v>No</v>
      </c>
    </row>
    <row r="1004" spans="1:5" ht="12.75">
      <c r="A1004" s="1221"/>
      <c r="B1004" s="1221">
        <v>41</v>
      </c>
      <c r="C1004" s="1229" t="s">
        <v>207</v>
      </c>
      <c r="D1004" s="1223">
        <v>0</v>
      </c>
      <c r="E1004" s="1243" t="str">
        <f>IF(A1004&gt;0,D1004,"No")</f>
        <v>No</v>
      </c>
    </row>
    <row r="1005" spans="1:5" ht="12.75">
      <c r="A1005" s="1221">
        <v>530310</v>
      </c>
      <c r="B1005" s="1221" t="s">
        <v>972</v>
      </c>
      <c r="C1005" s="1222" t="s">
        <v>244</v>
      </c>
      <c r="D1005" s="1223">
        <v>0</v>
      </c>
      <c r="E1005" s="1244">
        <f>SUM(D1006:D1008)</f>
        <v>3502.7000000000003</v>
      </c>
    </row>
    <row r="1006" spans="1:5" ht="12.75">
      <c r="A1006" s="1221"/>
      <c r="B1006" s="1221">
        <v>25</v>
      </c>
      <c r="C1006" s="1229" t="s">
        <v>1176</v>
      </c>
      <c r="D1006" s="1223">
        <v>0</v>
      </c>
      <c r="E1006" s="1243" t="str">
        <f>IF(A1006&gt;0,D1006,"No")</f>
        <v>No</v>
      </c>
    </row>
    <row r="1007" spans="1:5" ht="12.75">
      <c r="A1007" s="1221"/>
      <c r="B1007" s="1221">
        <v>31</v>
      </c>
      <c r="C1007" s="1229" t="s">
        <v>1179</v>
      </c>
      <c r="D1007" s="1223">
        <v>3060.4</v>
      </c>
      <c r="E1007" s="1243" t="str">
        <f>IF(A1007&gt;0,D1007,"No")</f>
        <v>No</v>
      </c>
    </row>
    <row r="1008" spans="1:5" ht="12.75">
      <c r="A1008" s="1221"/>
      <c r="B1008" s="1221">
        <v>41</v>
      </c>
      <c r="C1008" s="1229" t="s">
        <v>207</v>
      </c>
      <c r="D1008" s="1223">
        <v>442.3</v>
      </c>
      <c r="E1008" s="1243" t="str">
        <f>IF(A1008&gt;0,D1008,"No")</f>
        <v>No</v>
      </c>
    </row>
    <row r="1009" spans="1:5" ht="12.75">
      <c r="A1009" s="1221">
        <v>530320</v>
      </c>
      <c r="B1009" s="1221" t="s">
        <v>972</v>
      </c>
      <c r="C1009" s="1240" t="s">
        <v>975</v>
      </c>
      <c r="D1009" s="1223">
        <v>0</v>
      </c>
      <c r="E1009" s="1243">
        <f>IF(A1009&gt;0,D1009,"No")</f>
        <v>0</v>
      </c>
    </row>
    <row r="1010" spans="1:5" ht="12.75">
      <c r="A1010" s="1221">
        <v>530330</v>
      </c>
      <c r="B1010" s="1221" t="s">
        <v>972</v>
      </c>
      <c r="C1010" s="1222" t="s">
        <v>245</v>
      </c>
      <c r="D1010" s="1223">
        <v>0</v>
      </c>
      <c r="E1010" s="1244">
        <f>SUM(D1011:D1013)</f>
        <v>653411.01</v>
      </c>
    </row>
    <row r="1011" spans="1:5" ht="12.75">
      <c r="A1011" s="1221"/>
      <c r="B1011" s="1221">
        <v>2</v>
      </c>
      <c r="C1011" s="1229" t="s">
        <v>213</v>
      </c>
      <c r="D1011" s="1223">
        <v>320384.4</v>
      </c>
      <c r="E1011" s="1243" t="str">
        <f>IF(A1011&gt;0,D1011,"No")</f>
        <v>No</v>
      </c>
    </row>
    <row r="1012" spans="1:5" ht="12.75">
      <c r="A1012" s="1221"/>
      <c r="B1012" s="1221">
        <v>14</v>
      </c>
      <c r="C1012" s="1229" t="s">
        <v>205</v>
      </c>
      <c r="D1012" s="1223">
        <v>248921.13</v>
      </c>
      <c r="E1012" s="1243" t="str">
        <f>IF(A1012&gt;0,D1012,"No")</f>
        <v>No</v>
      </c>
    </row>
    <row r="1013" spans="1:5" ht="12.75">
      <c r="A1013" s="1221"/>
      <c r="B1013" s="1221">
        <v>41</v>
      </c>
      <c r="C1013" s="1229" t="s">
        <v>207</v>
      </c>
      <c r="D1013" s="1223">
        <v>84105.48</v>
      </c>
      <c r="E1013" s="1243" t="str">
        <f>IF(A1013&gt;0,D1013,"No")</f>
        <v>No</v>
      </c>
    </row>
    <row r="1014" spans="1:5" ht="12.75">
      <c r="A1014" s="1221">
        <v>530340</v>
      </c>
      <c r="B1014" s="1221" t="s">
        <v>972</v>
      </c>
      <c r="C1014" s="1222" t="s">
        <v>246</v>
      </c>
      <c r="D1014" s="1223">
        <v>0</v>
      </c>
      <c r="E1014" s="1244">
        <f>SUM(D1015:D1033)</f>
        <v>5081794.23</v>
      </c>
    </row>
    <row r="1015" spans="1:5" ht="12.75">
      <c r="A1015" s="1221"/>
      <c r="B1015" s="1221">
        <v>2</v>
      </c>
      <c r="C1015" s="1229" t="s">
        <v>213</v>
      </c>
      <c r="D1015" s="1223">
        <v>0</v>
      </c>
      <c r="E1015" s="1243" t="str">
        <f aca="true" t="shared" si="32" ref="E1015:E1033">IF(A1015&gt;0,D1015,"No")</f>
        <v>No</v>
      </c>
    </row>
    <row r="1016" spans="1:5" ht="12.75">
      <c r="A1016" s="1221"/>
      <c r="B1016" s="1221">
        <v>3</v>
      </c>
      <c r="C1016" s="1229" t="s">
        <v>1156</v>
      </c>
      <c r="D1016" s="1223">
        <v>0</v>
      </c>
      <c r="E1016" s="1243" t="str">
        <f t="shared" si="32"/>
        <v>No</v>
      </c>
    </row>
    <row r="1017" spans="1:5" ht="12.75">
      <c r="A1017" s="1221"/>
      <c r="B1017" s="1221">
        <v>4</v>
      </c>
      <c r="C1017" s="1229" t="s">
        <v>1157</v>
      </c>
      <c r="D1017" s="1223">
        <v>629868.3</v>
      </c>
      <c r="E1017" s="1243" t="str">
        <f t="shared" si="32"/>
        <v>No</v>
      </c>
    </row>
    <row r="1018" spans="1:5" ht="12.75">
      <c r="A1018" s="1221"/>
      <c r="B1018" s="1221">
        <v>5</v>
      </c>
      <c r="C1018" s="1229" t="s">
        <v>204</v>
      </c>
      <c r="D1018" s="1223">
        <v>105707.11</v>
      </c>
      <c r="E1018" s="1243" t="str">
        <f t="shared" si="32"/>
        <v>No</v>
      </c>
    </row>
    <row r="1019" spans="1:5" ht="12.75">
      <c r="A1019" s="1221"/>
      <c r="B1019" s="1221">
        <v>6</v>
      </c>
      <c r="C1019" s="1229" t="s">
        <v>1159</v>
      </c>
      <c r="D1019" s="1223">
        <v>96789.18</v>
      </c>
      <c r="E1019" s="1243" t="str">
        <f t="shared" si="32"/>
        <v>No</v>
      </c>
    </row>
    <row r="1020" spans="1:5" ht="12.75">
      <c r="A1020" s="1221"/>
      <c r="B1020" s="1221">
        <v>7</v>
      </c>
      <c r="C1020" s="1229" t="s">
        <v>1160</v>
      </c>
      <c r="D1020" s="1223">
        <v>139.26</v>
      </c>
      <c r="E1020" s="1243" t="str">
        <f t="shared" si="32"/>
        <v>No</v>
      </c>
    </row>
    <row r="1021" spans="1:5" ht="12.75">
      <c r="A1021" s="1221"/>
      <c r="B1021" s="1221">
        <v>8</v>
      </c>
      <c r="C1021" s="1229" t="s">
        <v>1181</v>
      </c>
      <c r="D1021" s="1223">
        <v>0</v>
      </c>
      <c r="E1021" s="1243" t="str">
        <f t="shared" si="32"/>
        <v>No</v>
      </c>
    </row>
    <row r="1022" spans="1:5" ht="12.75">
      <c r="A1022" s="1221"/>
      <c r="B1022" s="1221">
        <v>9</v>
      </c>
      <c r="C1022" s="1229" t="s">
        <v>1161</v>
      </c>
      <c r="D1022" s="1223">
        <v>12224.22</v>
      </c>
      <c r="E1022" s="1243" t="str">
        <f t="shared" si="32"/>
        <v>No</v>
      </c>
    </row>
    <row r="1023" spans="1:5" ht="12.75">
      <c r="A1023" s="1221"/>
      <c r="B1023" s="1221">
        <v>10</v>
      </c>
      <c r="C1023" s="1229" t="s">
        <v>1162</v>
      </c>
      <c r="D1023" s="1223">
        <v>8752.94</v>
      </c>
      <c r="E1023" s="1243" t="str">
        <f t="shared" si="32"/>
        <v>No</v>
      </c>
    </row>
    <row r="1024" spans="1:5" ht="12.75">
      <c r="A1024" s="1221"/>
      <c r="B1024" s="1221">
        <v>11</v>
      </c>
      <c r="C1024" s="1229" t="s">
        <v>1163</v>
      </c>
      <c r="D1024" s="1223">
        <v>0</v>
      </c>
      <c r="E1024" s="1243" t="str">
        <f t="shared" si="32"/>
        <v>No</v>
      </c>
    </row>
    <row r="1025" spans="1:5" ht="12.75">
      <c r="A1025" s="1221"/>
      <c r="B1025" s="1221">
        <v>12</v>
      </c>
      <c r="C1025" s="1229" t="s">
        <v>1164</v>
      </c>
      <c r="D1025" s="1223">
        <v>0</v>
      </c>
      <c r="E1025" s="1243" t="str">
        <f t="shared" si="32"/>
        <v>No</v>
      </c>
    </row>
    <row r="1026" spans="1:5" ht="12.75">
      <c r="A1026" s="1221"/>
      <c r="B1026" s="1221">
        <v>13</v>
      </c>
      <c r="C1026" s="1229" t="s">
        <v>214</v>
      </c>
      <c r="D1026" s="1223">
        <v>0</v>
      </c>
      <c r="E1026" s="1243" t="str">
        <f t="shared" si="32"/>
        <v>No</v>
      </c>
    </row>
    <row r="1027" spans="1:5" ht="12.75">
      <c r="A1027" s="1221"/>
      <c r="B1027" s="1221">
        <v>15</v>
      </c>
      <c r="C1027" s="1229" t="s">
        <v>206</v>
      </c>
      <c r="D1027" s="1223">
        <v>219799.51</v>
      </c>
      <c r="E1027" s="1243" t="str">
        <f t="shared" si="32"/>
        <v>No</v>
      </c>
    </row>
    <row r="1028" spans="1:5" ht="12.75">
      <c r="A1028" s="1221"/>
      <c r="B1028" s="1221">
        <v>16</v>
      </c>
      <c r="C1028" s="1229" t="s">
        <v>1167</v>
      </c>
      <c r="D1028" s="1223">
        <v>2297.06</v>
      </c>
      <c r="E1028" s="1243" t="str">
        <f t="shared" si="32"/>
        <v>No</v>
      </c>
    </row>
    <row r="1029" spans="1:5" ht="12.75">
      <c r="A1029" s="1221"/>
      <c r="B1029" s="1221">
        <v>17</v>
      </c>
      <c r="C1029" s="1229" t="s">
        <v>1168</v>
      </c>
      <c r="D1029" s="1223">
        <v>0</v>
      </c>
      <c r="E1029" s="1243" t="str">
        <f t="shared" si="32"/>
        <v>No</v>
      </c>
    </row>
    <row r="1030" spans="1:5" ht="12.75">
      <c r="A1030" s="1221"/>
      <c r="B1030" s="1221">
        <v>32</v>
      </c>
      <c r="C1030" s="1229" t="s">
        <v>1169</v>
      </c>
      <c r="D1030" s="1223">
        <v>726743.52</v>
      </c>
      <c r="E1030" s="1243" t="str">
        <f t="shared" si="32"/>
        <v>No</v>
      </c>
    </row>
    <row r="1031" spans="1:5" ht="12.75">
      <c r="A1031" s="1221"/>
      <c r="B1031" s="1221">
        <v>39</v>
      </c>
      <c r="C1031" s="1229" t="s">
        <v>1170</v>
      </c>
      <c r="D1031" s="1223">
        <v>472.91</v>
      </c>
      <c r="E1031" s="1243" t="str">
        <f t="shared" si="32"/>
        <v>No</v>
      </c>
    </row>
    <row r="1032" spans="1:5" ht="12.75">
      <c r="A1032" s="1221"/>
      <c r="B1032" s="1221">
        <v>41</v>
      </c>
      <c r="C1032" s="1229" t="s">
        <v>207</v>
      </c>
      <c r="D1032" s="1223">
        <v>983200.92</v>
      </c>
      <c r="E1032" s="1243" t="str">
        <f t="shared" si="32"/>
        <v>No</v>
      </c>
    </row>
    <row r="1033" spans="1:5" ht="12.75">
      <c r="A1033" s="1221"/>
      <c r="B1033" s="1221">
        <v>43</v>
      </c>
      <c r="C1033" s="1229" t="s">
        <v>959</v>
      </c>
      <c r="D1033" s="1223">
        <v>2295799.3</v>
      </c>
      <c r="E1033" s="1243" t="str">
        <f t="shared" si="32"/>
        <v>No</v>
      </c>
    </row>
    <row r="1034" spans="1:5" ht="12.75">
      <c r="A1034" s="1221">
        <v>530350</v>
      </c>
      <c r="B1034" s="1221" t="s">
        <v>972</v>
      </c>
      <c r="C1034" s="1222" t="s">
        <v>247</v>
      </c>
      <c r="D1034" s="1223">
        <v>0</v>
      </c>
      <c r="E1034" s="1244">
        <f>SUM(D1035:D1037)</f>
        <v>0</v>
      </c>
    </row>
    <row r="1035" spans="1:5" ht="12.75">
      <c r="A1035" s="1221"/>
      <c r="B1035" s="1221">
        <v>18</v>
      </c>
      <c r="C1035" s="1229" t="s">
        <v>1172</v>
      </c>
      <c r="D1035" s="1223">
        <v>0</v>
      </c>
      <c r="E1035" s="1243" t="str">
        <f>IF(A1035&gt;0,D1035,"No")</f>
        <v>No</v>
      </c>
    </row>
    <row r="1036" spans="1:5" ht="12.75">
      <c r="A1036" s="1221"/>
      <c r="B1036" s="1221">
        <v>21</v>
      </c>
      <c r="C1036" s="1229" t="s">
        <v>217</v>
      </c>
      <c r="D1036" s="1223">
        <v>0</v>
      </c>
      <c r="E1036" s="1243" t="str">
        <f>IF(A1036&gt;0,D1036,"No")</f>
        <v>No</v>
      </c>
    </row>
    <row r="1037" spans="1:5" ht="12.75">
      <c r="A1037" s="1221"/>
      <c r="B1037" s="1221">
        <v>41</v>
      </c>
      <c r="C1037" s="1229" t="s">
        <v>207</v>
      </c>
      <c r="D1037" s="1223">
        <v>0</v>
      </c>
      <c r="E1037" s="1243" t="str">
        <f>IF(A1037&gt;0,D1037,"No")</f>
        <v>No</v>
      </c>
    </row>
    <row r="1038" spans="1:5" ht="12.75">
      <c r="A1038" s="1221">
        <v>530360</v>
      </c>
      <c r="B1038" s="1221" t="s">
        <v>972</v>
      </c>
      <c r="C1038" s="1222" t="s">
        <v>248</v>
      </c>
      <c r="D1038" s="1223">
        <v>0</v>
      </c>
      <c r="E1038" s="1244">
        <f>SUM(D1039:D1064)</f>
        <v>1453427.88</v>
      </c>
    </row>
    <row r="1039" spans="1:5" ht="12.75">
      <c r="A1039" s="1221"/>
      <c r="B1039" s="1221">
        <v>1</v>
      </c>
      <c r="C1039" s="1229" t="s">
        <v>1175</v>
      </c>
      <c r="D1039" s="1223">
        <v>0</v>
      </c>
      <c r="E1039" s="1243" t="str">
        <f aca="true" t="shared" si="33" ref="E1039:E1064">IF(A1039&gt;0,D1039,"No")</f>
        <v>No</v>
      </c>
    </row>
    <row r="1040" spans="1:5" ht="12.75">
      <c r="A1040" s="1221"/>
      <c r="B1040" s="1221">
        <v>2</v>
      </c>
      <c r="C1040" s="1229" t="s">
        <v>213</v>
      </c>
      <c r="D1040" s="1223">
        <v>19179.35</v>
      </c>
      <c r="E1040" s="1243" t="str">
        <f t="shared" si="33"/>
        <v>No</v>
      </c>
    </row>
    <row r="1041" spans="1:5" ht="12.75">
      <c r="A1041" s="1221"/>
      <c r="B1041" s="1221">
        <v>3</v>
      </c>
      <c r="C1041" s="1229" t="s">
        <v>1156</v>
      </c>
      <c r="D1041" s="1223">
        <v>33520.72</v>
      </c>
      <c r="E1041" s="1243" t="str">
        <f t="shared" si="33"/>
        <v>No</v>
      </c>
    </row>
    <row r="1042" spans="1:5" ht="12.75">
      <c r="A1042" s="1221"/>
      <c r="B1042" s="1221">
        <v>4</v>
      </c>
      <c r="C1042" s="1229" t="s">
        <v>1157</v>
      </c>
      <c r="D1042" s="1223">
        <v>210961.84</v>
      </c>
      <c r="E1042" s="1243" t="str">
        <f t="shared" si="33"/>
        <v>No</v>
      </c>
    </row>
    <row r="1043" spans="1:5" ht="12.75">
      <c r="A1043" s="1221"/>
      <c r="B1043" s="1221">
        <v>5</v>
      </c>
      <c r="C1043" s="1229" t="s">
        <v>204</v>
      </c>
      <c r="D1043" s="1223">
        <v>404305.57</v>
      </c>
      <c r="E1043" s="1243" t="str">
        <f t="shared" si="33"/>
        <v>No</v>
      </c>
    </row>
    <row r="1044" spans="1:5" ht="12.75">
      <c r="A1044" s="1221"/>
      <c r="B1044" s="1221">
        <v>6</v>
      </c>
      <c r="C1044" s="1229" t="s">
        <v>1159</v>
      </c>
      <c r="D1044" s="1223">
        <v>59463.6</v>
      </c>
      <c r="E1044" s="1243" t="str">
        <f t="shared" si="33"/>
        <v>No</v>
      </c>
    </row>
    <row r="1045" spans="1:5" ht="12.75">
      <c r="A1045" s="1221"/>
      <c r="B1045" s="1221">
        <v>7</v>
      </c>
      <c r="C1045" s="1229" t="s">
        <v>1160</v>
      </c>
      <c r="D1045" s="1223">
        <v>2414.88</v>
      </c>
      <c r="E1045" s="1243" t="str">
        <f t="shared" si="33"/>
        <v>No</v>
      </c>
    </row>
    <row r="1046" spans="1:5" ht="12.75">
      <c r="A1046" s="1221"/>
      <c r="B1046" s="1221">
        <v>8</v>
      </c>
      <c r="C1046" s="1229" t="s">
        <v>1181</v>
      </c>
      <c r="D1046" s="1223">
        <v>0</v>
      </c>
      <c r="E1046" s="1243" t="str">
        <f t="shared" si="33"/>
        <v>No</v>
      </c>
    </row>
    <row r="1047" spans="1:5" ht="12.75">
      <c r="A1047" s="1221"/>
      <c r="B1047" s="1221">
        <v>9</v>
      </c>
      <c r="C1047" s="1229" t="s">
        <v>1161</v>
      </c>
      <c r="D1047" s="1223">
        <v>0</v>
      </c>
      <c r="E1047" s="1243" t="str">
        <f t="shared" si="33"/>
        <v>No</v>
      </c>
    </row>
    <row r="1048" spans="1:5" ht="12.75">
      <c r="A1048" s="1221"/>
      <c r="B1048" s="1221">
        <v>10</v>
      </c>
      <c r="C1048" s="1229" t="s">
        <v>1162</v>
      </c>
      <c r="D1048" s="1223">
        <v>25273.78</v>
      </c>
      <c r="E1048" s="1243" t="str">
        <f t="shared" si="33"/>
        <v>No</v>
      </c>
    </row>
    <row r="1049" spans="1:5" ht="12.75">
      <c r="A1049" s="1221"/>
      <c r="B1049" s="1221">
        <v>11</v>
      </c>
      <c r="C1049" s="1229" t="s">
        <v>1163</v>
      </c>
      <c r="D1049" s="1223">
        <v>0</v>
      </c>
      <c r="E1049" s="1243" t="str">
        <f t="shared" si="33"/>
        <v>No</v>
      </c>
    </row>
    <row r="1050" spans="1:5" ht="12.75">
      <c r="A1050" s="1221"/>
      <c r="B1050" s="1221">
        <v>12</v>
      </c>
      <c r="C1050" s="1229" t="s">
        <v>1164</v>
      </c>
      <c r="D1050" s="1223">
        <v>136.91</v>
      </c>
      <c r="E1050" s="1243" t="str">
        <f t="shared" si="33"/>
        <v>No</v>
      </c>
    </row>
    <row r="1051" spans="1:5" ht="12.75">
      <c r="A1051" s="1221"/>
      <c r="B1051" s="1221">
        <v>13</v>
      </c>
      <c r="C1051" s="1229" t="s">
        <v>214</v>
      </c>
      <c r="D1051" s="1223">
        <v>75847.44</v>
      </c>
      <c r="E1051" s="1243" t="str">
        <f t="shared" si="33"/>
        <v>No</v>
      </c>
    </row>
    <row r="1052" spans="1:5" ht="12.75">
      <c r="A1052" s="1221"/>
      <c r="B1052" s="1221">
        <v>15</v>
      </c>
      <c r="C1052" s="1229" t="s">
        <v>206</v>
      </c>
      <c r="D1052" s="1223">
        <v>30916.95</v>
      </c>
      <c r="E1052" s="1243" t="str">
        <f t="shared" si="33"/>
        <v>No</v>
      </c>
    </row>
    <row r="1053" spans="1:5" ht="12.75">
      <c r="A1053" s="1221"/>
      <c r="B1053" s="1221">
        <v>16</v>
      </c>
      <c r="C1053" s="1229" t="s">
        <v>1167</v>
      </c>
      <c r="D1053" s="1223">
        <v>347.35</v>
      </c>
      <c r="E1053" s="1243" t="str">
        <f t="shared" si="33"/>
        <v>No</v>
      </c>
    </row>
    <row r="1054" spans="1:5" ht="12.75">
      <c r="A1054" s="1221"/>
      <c r="B1054" s="1221">
        <v>17</v>
      </c>
      <c r="C1054" s="1229" t="s">
        <v>1168</v>
      </c>
      <c r="D1054" s="1223">
        <v>110214.25</v>
      </c>
      <c r="E1054" s="1243" t="str">
        <f t="shared" si="33"/>
        <v>No</v>
      </c>
    </row>
    <row r="1055" spans="1:5" ht="12.75">
      <c r="A1055" s="1221"/>
      <c r="B1055" s="1221">
        <v>18</v>
      </c>
      <c r="C1055" s="1229" t="s">
        <v>1172</v>
      </c>
      <c r="D1055" s="1223">
        <v>155768.71</v>
      </c>
      <c r="E1055" s="1243" t="str">
        <f t="shared" si="33"/>
        <v>No</v>
      </c>
    </row>
    <row r="1056" spans="1:5" ht="12.75">
      <c r="A1056" s="1221"/>
      <c r="B1056" s="1221">
        <v>19</v>
      </c>
      <c r="C1056" s="1229" t="s">
        <v>215</v>
      </c>
      <c r="D1056" s="1223">
        <v>0</v>
      </c>
      <c r="E1056" s="1243" t="str">
        <f t="shared" si="33"/>
        <v>No</v>
      </c>
    </row>
    <row r="1057" spans="1:5" ht="12.75">
      <c r="A1057" s="1221"/>
      <c r="B1057" s="1221">
        <v>20</v>
      </c>
      <c r="C1057" s="1229" t="s">
        <v>216</v>
      </c>
      <c r="D1057" s="1223">
        <v>0</v>
      </c>
      <c r="E1057" s="1243" t="str">
        <f t="shared" si="33"/>
        <v>No</v>
      </c>
    </row>
    <row r="1058" spans="1:5" ht="12.75">
      <c r="A1058" s="1221"/>
      <c r="B1058" s="1221">
        <v>21</v>
      </c>
      <c r="C1058" s="1229" t="s">
        <v>217</v>
      </c>
      <c r="D1058" s="1223">
        <v>0</v>
      </c>
      <c r="E1058" s="1243" t="str">
        <f t="shared" si="33"/>
        <v>No</v>
      </c>
    </row>
    <row r="1059" spans="1:5" ht="12.75">
      <c r="A1059" s="1221"/>
      <c r="B1059" s="1221">
        <v>22</v>
      </c>
      <c r="C1059" s="1229" t="s">
        <v>218</v>
      </c>
      <c r="D1059" s="1223">
        <v>0</v>
      </c>
      <c r="E1059" s="1243" t="str">
        <f t="shared" si="33"/>
        <v>No</v>
      </c>
    </row>
    <row r="1060" spans="1:5" ht="12.75">
      <c r="A1060" s="1221"/>
      <c r="B1060" s="1221">
        <v>31</v>
      </c>
      <c r="C1060" s="1229" t="s">
        <v>1179</v>
      </c>
      <c r="D1060" s="1223">
        <v>25436.15</v>
      </c>
      <c r="E1060" s="1243" t="str">
        <f t="shared" si="33"/>
        <v>No</v>
      </c>
    </row>
    <row r="1061" spans="1:5" ht="12.75">
      <c r="A1061" s="1221"/>
      <c r="B1061" s="1221">
        <v>32</v>
      </c>
      <c r="C1061" s="1229" t="s">
        <v>249</v>
      </c>
      <c r="D1061" s="1223">
        <v>11227.11</v>
      </c>
      <c r="E1061" s="1243" t="str">
        <f t="shared" si="33"/>
        <v>No</v>
      </c>
    </row>
    <row r="1062" spans="1:5" ht="12.75">
      <c r="A1062" s="1221"/>
      <c r="B1062" s="1221">
        <v>39</v>
      </c>
      <c r="C1062" s="1229" t="s">
        <v>1170</v>
      </c>
      <c r="D1062" s="1223">
        <v>7190.47</v>
      </c>
      <c r="E1062" s="1243" t="str">
        <f t="shared" si="33"/>
        <v>No</v>
      </c>
    </row>
    <row r="1063" spans="1:5" ht="12.75">
      <c r="A1063" s="1221"/>
      <c r="B1063" s="1221">
        <v>41</v>
      </c>
      <c r="C1063" s="1229" t="s">
        <v>207</v>
      </c>
      <c r="D1063" s="1223">
        <v>120605.88</v>
      </c>
      <c r="E1063" s="1243" t="str">
        <f t="shared" si="33"/>
        <v>No</v>
      </c>
    </row>
    <row r="1064" spans="1:5" ht="12.75">
      <c r="A1064" s="1221"/>
      <c r="B1064" s="1221">
        <v>43</v>
      </c>
      <c r="C1064" s="1229" t="s">
        <v>959</v>
      </c>
      <c r="D1064" s="1223">
        <v>160616.92</v>
      </c>
      <c r="E1064" s="1243" t="str">
        <f t="shared" si="33"/>
        <v>No</v>
      </c>
    </row>
    <row r="1065" spans="1:5" ht="12.75">
      <c r="A1065" s="1221">
        <v>530370</v>
      </c>
      <c r="B1065" s="1221" t="s">
        <v>972</v>
      </c>
      <c r="C1065" s="1222" t="s">
        <v>253</v>
      </c>
      <c r="D1065" s="1223">
        <v>0</v>
      </c>
      <c r="E1065" s="1244">
        <f>SUM(D1066:D1073)</f>
        <v>101199.68</v>
      </c>
    </row>
    <row r="1066" spans="1:5" ht="12.75">
      <c r="A1066" s="1221"/>
      <c r="B1066" s="1221">
        <v>2</v>
      </c>
      <c r="C1066" s="1229" t="s">
        <v>213</v>
      </c>
      <c r="D1066" s="1223">
        <v>0</v>
      </c>
      <c r="E1066" s="1243" t="str">
        <f aca="true" t="shared" si="34" ref="E1066:E1073">IF(A1066&gt;0,D1066,"No")</f>
        <v>No</v>
      </c>
    </row>
    <row r="1067" spans="1:5" ht="12.75">
      <c r="A1067" s="1221"/>
      <c r="B1067" s="1221">
        <v>15</v>
      </c>
      <c r="C1067" s="1229" t="s">
        <v>206</v>
      </c>
      <c r="D1067" s="1223">
        <v>0</v>
      </c>
      <c r="E1067" s="1243" t="str">
        <f t="shared" si="34"/>
        <v>No</v>
      </c>
    </row>
    <row r="1068" spans="1:5" ht="12.75">
      <c r="A1068" s="1221"/>
      <c r="B1068" s="1221">
        <v>16</v>
      </c>
      <c r="C1068" s="1229" t="s">
        <v>1167</v>
      </c>
      <c r="D1068" s="1223">
        <v>0</v>
      </c>
      <c r="E1068" s="1243" t="str">
        <f t="shared" si="34"/>
        <v>No</v>
      </c>
    </row>
    <row r="1069" spans="1:5" ht="12.75">
      <c r="A1069" s="1221"/>
      <c r="B1069" s="1221">
        <v>17</v>
      </c>
      <c r="C1069" s="1229" t="s">
        <v>1168</v>
      </c>
      <c r="D1069" s="1223">
        <v>97199.68</v>
      </c>
      <c r="E1069" s="1243" t="str">
        <f t="shared" si="34"/>
        <v>No</v>
      </c>
    </row>
    <row r="1070" spans="1:5" ht="12.75">
      <c r="A1070" s="1221"/>
      <c r="B1070" s="1221">
        <v>32</v>
      </c>
      <c r="C1070" s="1229" t="s">
        <v>249</v>
      </c>
      <c r="D1070" s="1223">
        <v>0</v>
      </c>
      <c r="E1070" s="1243" t="str">
        <f t="shared" si="34"/>
        <v>No</v>
      </c>
    </row>
    <row r="1071" spans="1:5" ht="12.75">
      <c r="A1071" s="1221"/>
      <c r="B1071" s="1221">
        <v>39</v>
      </c>
      <c r="C1071" s="1229" t="s">
        <v>1170</v>
      </c>
      <c r="D1071" s="1223">
        <v>0</v>
      </c>
      <c r="E1071" s="1243" t="str">
        <f t="shared" si="34"/>
        <v>No</v>
      </c>
    </row>
    <row r="1072" spans="1:5" ht="12.75">
      <c r="A1072" s="1221"/>
      <c r="B1072" s="1221">
        <v>41</v>
      </c>
      <c r="C1072" s="1229" t="s">
        <v>207</v>
      </c>
      <c r="D1072" s="1223">
        <v>1010.2</v>
      </c>
      <c r="E1072" s="1243" t="str">
        <f t="shared" si="34"/>
        <v>No</v>
      </c>
    </row>
    <row r="1073" spans="1:5" ht="12.75">
      <c r="A1073" s="1221"/>
      <c r="B1073" s="1221">
        <v>43</v>
      </c>
      <c r="C1073" s="1229" t="s">
        <v>959</v>
      </c>
      <c r="D1073" s="1223">
        <v>2989.8</v>
      </c>
      <c r="E1073" s="1243" t="str">
        <f t="shared" si="34"/>
        <v>No</v>
      </c>
    </row>
    <row r="1074" spans="1:5" ht="12.75">
      <c r="A1074" s="1221">
        <v>530380</v>
      </c>
      <c r="B1074" s="1221" t="s">
        <v>972</v>
      </c>
      <c r="C1074" s="1222" t="s">
        <v>254</v>
      </c>
      <c r="D1074" s="1223">
        <v>0</v>
      </c>
      <c r="E1074" s="1244">
        <f>SUM(D1075:D1086)</f>
        <v>16955108.7</v>
      </c>
    </row>
    <row r="1075" spans="1:5" ht="12.75">
      <c r="A1075" s="1221"/>
      <c r="B1075" s="1221">
        <v>1</v>
      </c>
      <c r="C1075" s="1229" t="s">
        <v>212</v>
      </c>
      <c r="D1075" s="1223">
        <v>0</v>
      </c>
      <c r="E1075" s="1243" t="str">
        <f aca="true" t="shared" si="35" ref="E1075:E1086">IF(A1075&gt;0,D1075,"No")</f>
        <v>No</v>
      </c>
    </row>
    <row r="1076" spans="1:5" ht="12.75">
      <c r="A1076" s="1221"/>
      <c r="B1076" s="1221">
        <v>4</v>
      </c>
      <c r="C1076" s="1229" t="s">
        <v>1157</v>
      </c>
      <c r="D1076" s="1223">
        <v>13175865.32</v>
      </c>
      <c r="E1076" s="1243" t="str">
        <f t="shared" si="35"/>
        <v>No</v>
      </c>
    </row>
    <row r="1077" spans="1:5" ht="12.75">
      <c r="A1077" s="1221"/>
      <c r="B1077" s="1221">
        <v>7</v>
      </c>
      <c r="C1077" s="1229" t="s">
        <v>1160</v>
      </c>
      <c r="D1077" s="1223">
        <v>2713350</v>
      </c>
      <c r="E1077" s="1243" t="str">
        <f t="shared" si="35"/>
        <v>No</v>
      </c>
    </row>
    <row r="1078" spans="1:5" ht="12.75">
      <c r="A1078" s="1221"/>
      <c r="B1078" s="1221">
        <v>9</v>
      </c>
      <c r="C1078" s="1229" t="s">
        <v>1161</v>
      </c>
      <c r="D1078" s="1223">
        <v>0</v>
      </c>
      <c r="E1078" s="1243" t="str">
        <f t="shared" si="35"/>
        <v>No</v>
      </c>
    </row>
    <row r="1079" spans="1:5" ht="12.75">
      <c r="A1079" s="1221"/>
      <c r="B1079" s="1221">
        <v>10</v>
      </c>
      <c r="C1079" s="1229" t="s">
        <v>1162</v>
      </c>
      <c r="D1079" s="1223">
        <v>9240</v>
      </c>
      <c r="E1079" s="1243" t="str">
        <f t="shared" si="35"/>
        <v>No</v>
      </c>
    </row>
    <row r="1080" spans="1:5" ht="12.75">
      <c r="A1080" s="1221"/>
      <c r="B1080" s="1221">
        <v>11</v>
      </c>
      <c r="C1080" s="1229" t="s">
        <v>1163</v>
      </c>
      <c r="D1080" s="1223">
        <v>0</v>
      </c>
      <c r="E1080" s="1243" t="str">
        <f t="shared" si="35"/>
        <v>No</v>
      </c>
    </row>
    <row r="1081" spans="1:5" ht="12.75">
      <c r="A1081" s="1221"/>
      <c r="B1081" s="1221">
        <v>15</v>
      </c>
      <c r="C1081" s="1229" t="s">
        <v>206</v>
      </c>
      <c r="D1081" s="1223">
        <v>85577.62</v>
      </c>
      <c r="E1081" s="1243" t="str">
        <f t="shared" si="35"/>
        <v>No</v>
      </c>
    </row>
    <row r="1082" spans="1:5" ht="12.75">
      <c r="A1082" s="1221"/>
      <c r="B1082" s="1221">
        <v>20</v>
      </c>
      <c r="C1082" s="1229" t="s">
        <v>216</v>
      </c>
      <c r="D1082" s="1223">
        <v>0</v>
      </c>
      <c r="E1082" s="1243" t="str">
        <f t="shared" si="35"/>
        <v>No</v>
      </c>
    </row>
    <row r="1083" spans="1:5" ht="12.75">
      <c r="A1083" s="1221"/>
      <c r="B1083" s="1221">
        <v>38</v>
      </c>
      <c r="C1083" s="1229" t="s">
        <v>255</v>
      </c>
      <c r="D1083" s="1223">
        <v>0</v>
      </c>
      <c r="E1083" s="1243" t="str">
        <f t="shared" si="35"/>
        <v>No</v>
      </c>
    </row>
    <row r="1084" spans="1:5" ht="12.75">
      <c r="A1084" s="1221"/>
      <c r="B1084" s="1221">
        <v>39</v>
      </c>
      <c r="C1084" s="1229" t="s">
        <v>1170</v>
      </c>
      <c r="D1084" s="1223">
        <v>0</v>
      </c>
      <c r="E1084" s="1243" t="str">
        <f t="shared" si="35"/>
        <v>No</v>
      </c>
    </row>
    <row r="1085" spans="1:5" ht="12.75">
      <c r="A1085" s="1221"/>
      <c r="B1085" s="1221">
        <v>41</v>
      </c>
      <c r="C1085" s="1229" t="s">
        <v>207</v>
      </c>
      <c r="D1085" s="1223">
        <v>305628.67</v>
      </c>
      <c r="E1085" s="1243" t="str">
        <f t="shared" si="35"/>
        <v>No</v>
      </c>
    </row>
    <row r="1086" spans="1:5" ht="12.75">
      <c r="A1086" s="1221"/>
      <c r="B1086" s="1221">
        <v>43</v>
      </c>
      <c r="C1086" s="1229" t="s">
        <v>959</v>
      </c>
      <c r="D1086" s="1223">
        <v>665447.09</v>
      </c>
      <c r="E1086" s="1243" t="str">
        <f t="shared" si="35"/>
        <v>No</v>
      </c>
    </row>
    <row r="1087" spans="1:5" ht="12.75">
      <c r="A1087" s="1221">
        <v>530390</v>
      </c>
      <c r="B1087" s="1221" t="s">
        <v>972</v>
      </c>
      <c r="C1087" s="1222" t="s">
        <v>257</v>
      </c>
      <c r="D1087" s="1223">
        <v>0</v>
      </c>
      <c r="E1087" s="1244">
        <f>SUM(D1088:D1119)</f>
        <v>3282378.460000001</v>
      </c>
    </row>
    <row r="1088" spans="1:5" ht="12.75">
      <c r="A1088" s="1221"/>
      <c r="B1088" s="1221">
        <v>1</v>
      </c>
      <c r="C1088" s="1229" t="s">
        <v>212</v>
      </c>
      <c r="D1088" s="1223">
        <v>0</v>
      </c>
      <c r="E1088" s="1243" t="str">
        <f aca="true" t="shared" si="36" ref="E1088:E1119">IF(A1088&gt;0,D1088,"No")</f>
        <v>No</v>
      </c>
    </row>
    <row r="1089" spans="1:5" ht="12.75">
      <c r="A1089" s="1221"/>
      <c r="B1089" s="1221">
        <v>2</v>
      </c>
      <c r="C1089" s="1229" t="s">
        <v>213</v>
      </c>
      <c r="D1089" s="1223">
        <v>12000</v>
      </c>
      <c r="E1089" s="1243" t="str">
        <f t="shared" si="36"/>
        <v>No</v>
      </c>
    </row>
    <row r="1090" spans="1:5" ht="12.75">
      <c r="A1090" s="1221"/>
      <c r="B1090" s="1221">
        <v>3</v>
      </c>
      <c r="C1090" s="1229" t="s">
        <v>1156</v>
      </c>
      <c r="D1090" s="1223">
        <v>193595.06</v>
      </c>
      <c r="E1090" s="1243" t="str">
        <f t="shared" si="36"/>
        <v>No</v>
      </c>
    </row>
    <row r="1091" spans="1:5" ht="12.75">
      <c r="A1091" s="1221"/>
      <c r="B1091" s="1221">
        <v>4</v>
      </c>
      <c r="C1091" s="1229" t="s">
        <v>1157</v>
      </c>
      <c r="D1091" s="1223">
        <v>251908.24</v>
      </c>
      <c r="E1091" s="1243" t="str">
        <f t="shared" si="36"/>
        <v>No</v>
      </c>
    </row>
    <row r="1092" spans="1:5" ht="12.75">
      <c r="A1092" s="1221"/>
      <c r="B1092" s="1221">
        <v>5</v>
      </c>
      <c r="C1092" s="1229" t="s">
        <v>204</v>
      </c>
      <c r="D1092" s="1223">
        <v>202300</v>
      </c>
      <c r="E1092" s="1243" t="str">
        <f t="shared" si="36"/>
        <v>No</v>
      </c>
    </row>
    <row r="1093" spans="1:5" ht="12.75">
      <c r="A1093" s="1221"/>
      <c r="B1093" s="1221">
        <v>6</v>
      </c>
      <c r="C1093" s="1229" t="s">
        <v>1159</v>
      </c>
      <c r="D1093" s="1223">
        <v>1701588.8</v>
      </c>
      <c r="E1093" s="1243" t="str">
        <f t="shared" si="36"/>
        <v>No</v>
      </c>
    </row>
    <row r="1094" spans="1:5" ht="12.75">
      <c r="A1094" s="1221"/>
      <c r="B1094" s="1221">
        <v>7</v>
      </c>
      <c r="C1094" s="1229" t="s">
        <v>1160</v>
      </c>
      <c r="D1094" s="1223">
        <v>220689.6</v>
      </c>
      <c r="E1094" s="1243" t="str">
        <f t="shared" si="36"/>
        <v>No</v>
      </c>
    </row>
    <row r="1095" spans="1:5" ht="12.75">
      <c r="A1095" s="1221"/>
      <c r="B1095" s="1221">
        <v>8</v>
      </c>
      <c r="C1095" s="1229" t="s">
        <v>1181</v>
      </c>
      <c r="D1095" s="1223">
        <v>0</v>
      </c>
      <c r="E1095" s="1243" t="str">
        <f t="shared" si="36"/>
        <v>No</v>
      </c>
    </row>
    <row r="1096" spans="1:5" ht="12.75">
      <c r="A1096" s="1221"/>
      <c r="B1096" s="1221">
        <v>9</v>
      </c>
      <c r="C1096" s="1229" t="s">
        <v>1161</v>
      </c>
      <c r="D1096" s="1223">
        <v>0</v>
      </c>
      <c r="E1096" s="1243" t="str">
        <f t="shared" si="36"/>
        <v>No</v>
      </c>
    </row>
    <row r="1097" spans="1:5" ht="12.75">
      <c r="A1097" s="1221"/>
      <c r="B1097" s="1221">
        <v>10</v>
      </c>
      <c r="C1097" s="1229" t="s">
        <v>1162</v>
      </c>
      <c r="D1097" s="1223">
        <v>20734.84</v>
      </c>
      <c r="E1097" s="1243" t="str">
        <f t="shared" si="36"/>
        <v>No</v>
      </c>
    </row>
    <row r="1098" spans="1:5" ht="12.75">
      <c r="A1098" s="1221"/>
      <c r="B1098" s="1221">
        <v>11</v>
      </c>
      <c r="C1098" s="1229" t="s">
        <v>1163</v>
      </c>
      <c r="D1098" s="1223">
        <v>0</v>
      </c>
      <c r="E1098" s="1243" t="str">
        <f t="shared" si="36"/>
        <v>No</v>
      </c>
    </row>
    <row r="1099" spans="1:5" ht="12.75">
      <c r="A1099" s="1221"/>
      <c r="B1099" s="1221">
        <v>12</v>
      </c>
      <c r="C1099" s="1229" t="s">
        <v>1164</v>
      </c>
      <c r="D1099" s="1223">
        <v>0</v>
      </c>
      <c r="E1099" s="1243" t="str">
        <f t="shared" si="36"/>
        <v>No</v>
      </c>
    </row>
    <row r="1100" spans="1:5" ht="12.75">
      <c r="A1100" s="1221"/>
      <c r="B1100" s="1221">
        <v>13</v>
      </c>
      <c r="C1100" s="1229" t="s">
        <v>214</v>
      </c>
      <c r="D1100" s="1223">
        <v>109573.07</v>
      </c>
      <c r="E1100" s="1243" t="str">
        <f t="shared" si="36"/>
        <v>No</v>
      </c>
    </row>
    <row r="1101" spans="1:5" ht="12.75">
      <c r="A1101" s="1221"/>
      <c r="B1101" s="1221">
        <v>14</v>
      </c>
      <c r="C1101" s="1229" t="s">
        <v>205</v>
      </c>
      <c r="D1101" s="1223">
        <v>58118.16</v>
      </c>
      <c r="E1101" s="1243" t="str">
        <f t="shared" si="36"/>
        <v>No</v>
      </c>
    </row>
    <row r="1102" spans="1:5" ht="12.75">
      <c r="A1102" s="1221"/>
      <c r="B1102" s="1221">
        <v>15</v>
      </c>
      <c r="C1102" s="1229" t="s">
        <v>206</v>
      </c>
      <c r="D1102" s="1223">
        <v>89831.74</v>
      </c>
      <c r="E1102" s="1243" t="str">
        <f t="shared" si="36"/>
        <v>No</v>
      </c>
    </row>
    <row r="1103" spans="1:5" ht="12.75">
      <c r="A1103" s="1221"/>
      <c r="B1103" s="1221">
        <v>16</v>
      </c>
      <c r="C1103" s="1229" t="s">
        <v>1167</v>
      </c>
      <c r="D1103" s="1223">
        <v>237</v>
      </c>
      <c r="E1103" s="1243" t="str">
        <f t="shared" si="36"/>
        <v>No</v>
      </c>
    </row>
    <row r="1104" spans="1:5" ht="12.75">
      <c r="A1104" s="1221"/>
      <c r="B1104" s="1221">
        <v>17</v>
      </c>
      <c r="C1104" s="1229" t="s">
        <v>1168</v>
      </c>
      <c r="D1104" s="1223">
        <v>32525</v>
      </c>
      <c r="E1104" s="1243" t="str">
        <f t="shared" si="36"/>
        <v>No</v>
      </c>
    </row>
    <row r="1105" spans="1:5" ht="12.75">
      <c r="A1105" s="1221"/>
      <c r="B1105" s="1221">
        <v>18</v>
      </c>
      <c r="C1105" s="1229" t="s">
        <v>1172</v>
      </c>
      <c r="D1105" s="1223">
        <v>5056.25</v>
      </c>
      <c r="E1105" s="1243" t="str">
        <f t="shared" si="36"/>
        <v>No</v>
      </c>
    </row>
    <row r="1106" spans="1:5" ht="12.75">
      <c r="A1106" s="1221"/>
      <c r="B1106" s="1221">
        <v>19</v>
      </c>
      <c r="C1106" s="1229" t="s">
        <v>215</v>
      </c>
      <c r="D1106" s="1223">
        <v>57590.79</v>
      </c>
      <c r="E1106" s="1243" t="str">
        <f t="shared" si="36"/>
        <v>No</v>
      </c>
    </row>
    <row r="1107" spans="1:5" ht="12.75">
      <c r="A1107" s="1221"/>
      <c r="B1107" s="1221">
        <v>20</v>
      </c>
      <c r="C1107" s="1229" t="s">
        <v>216</v>
      </c>
      <c r="D1107" s="1223">
        <v>38375.31</v>
      </c>
      <c r="E1107" s="1243" t="str">
        <f t="shared" si="36"/>
        <v>No</v>
      </c>
    </row>
    <row r="1108" spans="1:5" ht="12.75">
      <c r="A1108" s="1221"/>
      <c r="B1108" s="1221">
        <v>21</v>
      </c>
      <c r="C1108" s="1229" t="s">
        <v>217</v>
      </c>
      <c r="D1108" s="1223">
        <v>0</v>
      </c>
      <c r="E1108" s="1243" t="str">
        <f t="shared" si="36"/>
        <v>No</v>
      </c>
    </row>
    <row r="1109" spans="1:5" ht="12.75">
      <c r="A1109" s="1221"/>
      <c r="B1109" s="1221">
        <v>22</v>
      </c>
      <c r="C1109" s="1229" t="s">
        <v>218</v>
      </c>
      <c r="D1109" s="1223">
        <v>276</v>
      </c>
      <c r="E1109" s="1243" t="str">
        <f t="shared" si="36"/>
        <v>No</v>
      </c>
    </row>
    <row r="1110" spans="1:5" ht="12.75">
      <c r="A1110" s="1221"/>
      <c r="B1110" s="1221">
        <v>23</v>
      </c>
      <c r="C1110" s="1229" t="s">
        <v>219</v>
      </c>
      <c r="D1110" s="1223">
        <v>3698.5</v>
      </c>
      <c r="E1110" s="1243" t="str">
        <f t="shared" si="36"/>
        <v>No</v>
      </c>
    </row>
    <row r="1111" spans="1:5" ht="12.75">
      <c r="A1111" s="1221"/>
      <c r="B1111" s="1221">
        <v>24</v>
      </c>
      <c r="C1111" s="1229" t="s">
        <v>220</v>
      </c>
      <c r="D1111" s="1223">
        <v>1422.5</v>
      </c>
      <c r="E1111" s="1243" t="str">
        <f t="shared" si="36"/>
        <v>No</v>
      </c>
    </row>
    <row r="1112" spans="1:5" ht="12.75">
      <c r="A1112" s="1221"/>
      <c r="B1112" s="1221">
        <v>31</v>
      </c>
      <c r="C1112" s="1229" t="s">
        <v>1179</v>
      </c>
      <c r="D1112" s="1223">
        <v>15028.08</v>
      </c>
      <c r="E1112" s="1243" t="str">
        <f t="shared" si="36"/>
        <v>No</v>
      </c>
    </row>
    <row r="1113" spans="1:5" ht="12.75">
      <c r="A1113" s="1221"/>
      <c r="B1113" s="1221">
        <v>32</v>
      </c>
      <c r="C1113" s="1229" t="s">
        <v>249</v>
      </c>
      <c r="D1113" s="1223">
        <v>34396.5</v>
      </c>
      <c r="E1113" s="1243" t="str">
        <f t="shared" si="36"/>
        <v>No</v>
      </c>
    </row>
    <row r="1114" spans="1:5" ht="12.75">
      <c r="A1114" s="1221"/>
      <c r="B1114" s="1221">
        <v>33</v>
      </c>
      <c r="C1114" s="1229" t="s">
        <v>1183</v>
      </c>
      <c r="D1114" s="1223">
        <v>0</v>
      </c>
      <c r="E1114" s="1243" t="str">
        <f t="shared" si="36"/>
        <v>No</v>
      </c>
    </row>
    <row r="1115" spans="1:5" ht="12.75">
      <c r="A1115" s="1221"/>
      <c r="B1115" s="1221">
        <v>38</v>
      </c>
      <c r="C1115" s="1229" t="s">
        <v>255</v>
      </c>
      <c r="D1115" s="1223">
        <v>0</v>
      </c>
      <c r="E1115" s="1243" t="str">
        <f t="shared" si="36"/>
        <v>No</v>
      </c>
    </row>
    <row r="1116" spans="1:5" ht="12.75">
      <c r="A1116" s="1221"/>
      <c r="B1116" s="1221">
        <v>39</v>
      </c>
      <c r="C1116" s="1229" t="s">
        <v>1170</v>
      </c>
      <c r="D1116" s="1223">
        <v>33600.72</v>
      </c>
      <c r="E1116" s="1243" t="str">
        <f t="shared" si="36"/>
        <v>No</v>
      </c>
    </row>
    <row r="1117" spans="1:5" ht="12.75">
      <c r="A1117" s="1221"/>
      <c r="B1117" s="1221">
        <v>41</v>
      </c>
      <c r="C1117" s="1229" t="s">
        <v>207</v>
      </c>
      <c r="D1117" s="1223">
        <v>151613.68</v>
      </c>
      <c r="E1117" s="1243" t="str">
        <f t="shared" si="36"/>
        <v>No</v>
      </c>
    </row>
    <row r="1118" spans="1:5" ht="12.75">
      <c r="A1118" s="1221"/>
      <c r="B1118" s="1221">
        <v>42</v>
      </c>
      <c r="C1118" s="1229" t="s">
        <v>221</v>
      </c>
      <c r="D1118" s="1223">
        <v>2437.66</v>
      </c>
      <c r="E1118" s="1243" t="str">
        <f t="shared" si="36"/>
        <v>No</v>
      </c>
    </row>
    <row r="1119" spans="1:5" ht="12.75">
      <c r="A1119" s="1221"/>
      <c r="B1119" s="1221">
        <v>43</v>
      </c>
      <c r="C1119" s="1229" t="s">
        <v>959</v>
      </c>
      <c r="D1119" s="1223">
        <v>45780.96</v>
      </c>
      <c r="E1119" s="1243" t="str">
        <f t="shared" si="36"/>
        <v>No</v>
      </c>
    </row>
    <row r="1120" spans="1:5" ht="12.75">
      <c r="A1120" s="1221">
        <v>530400</v>
      </c>
      <c r="B1120" s="1221" t="s">
        <v>972</v>
      </c>
      <c r="C1120" s="1222" t="s">
        <v>258</v>
      </c>
      <c r="D1120" s="1223">
        <v>0</v>
      </c>
      <c r="E1120" s="1244">
        <f>SUM(D1121:D1123)</f>
        <v>1385309</v>
      </c>
    </row>
    <row r="1121" spans="1:5" ht="12.75">
      <c r="A1121" s="1221"/>
      <c r="B1121" s="1221">
        <v>2</v>
      </c>
      <c r="C1121" s="1229" t="s">
        <v>213</v>
      </c>
      <c r="D1121" s="1223">
        <v>1384384</v>
      </c>
      <c r="E1121" s="1243" t="str">
        <f>IF(A1121&gt;0,D1121,"No")</f>
        <v>No</v>
      </c>
    </row>
    <row r="1122" spans="1:5" ht="12.75">
      <c r="A1122" s="1221"/>
      <c r="B1122" s="1221">
        <v>23</v>
      </c>
      <c r="C1122" s="1229" t="s">
        <v>219</v>
      </c>
      <c r="D1122" s="1223">
        <v>925</v>
      </c>
      <c r="E1122" s="1243" t="str">
        <f>IF(A1122&gt;0,D1122,"No")</f>
        <v>No</v>
      </c>
    </row>
    <row r="1123" spans="1:5" ht="12.75">
      <c r="A1123" s="1221"/>
      <c r="B1123" s="1221">
        <v>34</v>
      </c>
      <c r="C1123" s="1229" t="s">
        <v>1173</v>
      </c>
      <c r="D1123" s="1223">
        <v>0</v>
      </c>
      <c r="E1123" s="1243" t="str">
        <f>IF(A1123&gt;0,D1123,"No")</f>
        <v>No</v>
      </c>
    </row>
    <row r="1124" spans="1:5" ht="12.75">
      <c r="A1124" s="1221">
        <v>530500</v>
      </c>
      <c r="B1124" s="1221" t="s">
        <v>972</v>
      </c>
      <c r="C1124" s="1239" t="s">
        <v>1102</v>
      </c>
      <c r="D1124" s="1223">
        <v>0</v>
      </c>
      <c r="E1124" s="1244">
        <f>SUM(D1125:D1127)</f>
        <v>2841734.5</v>
      </c>
    </row>
    <row r="1125" spans="1:5" ht="12.75">
      <c r="A1125" s="1221"/>
      <c r="B1125" s="1221">
        <v>2</v>
      </c>
      <c r="C1125" s="1229" t="s">
        <v>213</v>
      </c>
      <c r="D1125" s="1223">
        <v>2080793.67</v>
      </c>
      <c r="E1125" s="1243" t="str">
        <f>IF(A1125&gt;0,D1125,"No")</f>
        <v>No</v>
      </c>
    </row>
    <row r="1126" spans="1:5" ht="12.75">
      <c r="A1126" s="1221"/>
      <c r="B1126" s="1221">
        <v>14</v>
      </c>
      <c r="C1126" s="1229" t="s">
        <v>205</v>
      </c>
      <c r="D1126" s="1223">
        <v>568766.11</v>
      </c>
      <c r="E1126" s="1243" t="str">
        <f>IF(A1126&gt;0,D1126,"No")</f>
        <v>No</v>
      </c>
    </row>
    <row r="1127" spans="1:5" ht="12.75">
      <c r="A1127" s="1221"/>
      <c r="B1127" s="1221">
        <v>41</v>
      </c>
      <c r="C1127" s="1229" t="s">
        <v>207</v>
      </c>
      <c r="D1127" s="1223">
        <v>192174.72</v>
      </c>
      <c r="E1127" s="1243" t="str">
        <f>IF(A1127&gt;0,D1127,"No")</f>
        <v>No</v>
      </c>
    </row>
    <row r="1128" spans="1:5" ht="12.75">
      <c r="A1128" s="1221">
        <v>531000</v>
      </c>
      <c r="B1128" s="1221" t="s">
        <v>972</v>
      </c>
      <c r="C1128" s="1222" t="s">
        <v>259</v>
      </c>
      <c r="D1128" s="1223">
        <v>0</v>
      </c>
      <c r="E1128" s="1244">
        <f>SUM(D1129:D1159)</f>
        <v>437875.1500000001</v>
      </c>
    </row>
    <row r="1129" spans="1:5" ht="12.75">
      <c r="A1129" s="1221"/>
      <c r="B1129" s="1221">
        <v>1</v>
      </c>
      <c r="C1129" s="1229" t="s">
        <v>212</v>
      </c>
      <c r="D1129" s="1223">
        <v>0</v>
      </c>
      <c r="E1129" s="1243" t="str">
        <f aca="true" t="shared" si="37" ref="E1129:E1160">IF(A1129&gt;0,D1129,"No")</f>
        <v>No</v>
      </c>
    </row>
    <row r="1130" spans="1:5" ht="12.75">
      <c r="A1130" s="1221"/>
      <c r="B1130" s="1221">
        <v>2</v>
      </c>
      <c r="C1130" s="1229" t="s">
        <v>213</v>
      </c>
      <c r="D1130" s="1223">
        <v>40650</v>
      </c>
      <c r="E1130" s="1243" t="str">
        <f t="shared" si="37"/>
        <v>No</v>
      </c>
    </row>
    <row r="1131" spans="1:5" ht="12.75">
      <c r="A1131" s="1221"/>
      <c r="B1131" s="1221">
        <v>3</v>
      </c>
      <c r="C1131" s="1229" t="s">
        <v>1156</v>
      </c>
      <c r="D1131" s="1223">
        <v>4244.4</v>
      </c>
      <c r="E1131" s="1243" t="str">
        <f t="shared" si="37"/>
        <v>No</v>
      </c>
    </row>
    <row r="1132" spans="1:5" ht="12.75">
      <c r="A1132" s="1221"/>
      <c r="B1132" s="1221">
        <v>4</v>
      </c>
      <c r="C1132" s="1229" t="s">
        <v>1157</v>
      </c>
      <c r="D1132" s="1223">
        <v>79472</v>
      </c>
      <c r="E1132" s="1243" t="str">
        <f t="shared" si="37"/>
        <v>No</v>
      </c>
    </row>
    <row r="1133" spans="1:5" ht="12.75">
      <c r="A1133" s="1221"/>
      <c r="B1133" s="1221">
        <v>5</v>
      </c>
      <c r="C1133" s="1229" t="s">
        <v>204</v>
      </c>
      <c r="D1133" s="1223">
        <v>47600</v>
      </c>
      <c r="E1133" s="1243" t="str">
        <f t="shared" si="37"/>
        <v>No</v>
      </c>
    </row>
    <row r="1134" spans="1:5" ht="12.75">
      <c r="A1134" s="1221"/>
      <c r="B1134" s="1221">
        <v>6</v>
      </c>
      <c r="C1134" s="1229" t="s">
        <v>1159</v>
      </c>
      <c r="D1134" s="1223">
        <v>0</v>
      </c>
      <c r="E1134" s="1243" t="str">
        <f t="shared" si="37"/>
        <v>No</v>
      </c>
    </row>
    <row r="1135" spans="1:5" ht="12.75">
      <c r="A1135" s="1254"/>
      <c r="B1135" s="1254">
        <v>7</v>
      </c>
      <c r="C1135" s="1255" t="s">
        <v>1160</v>
      </c>
      <c r="D1135" s="1256">
        <v>74820</v>
      </c>
      <c r="E1135" s="1243" t="str">
        <f t="shared" si="37"/>
        <v>No</v>
      </c>
    </row>
    <row r="1136" spans="1:5" ht="12.75">
      <c r="A1136" s="1221"/>
      <c r="B1136" s="1221">
        <v>8</v>
      </c>
      <c r="C1136" s="1229" t="s">
        <v>1181</v>
      </c>
      <c r="D1136" s="1223">
        <v>0</v>
      </c>
      <c r="E1136" s="1243" t="str">
        <f t="shared" si="37"/>
        <v>No</v>
      </c>
    </row>
    <row r="1137" spans="1:5" ht="12.75">
      <c r="A1137" s="1221"/>
      <c r="B1137" s="1221">
        <v>9</v>
      </c>
      <c r="C1137" s="1229" t="s">
        <v>1161</v>
      </c>
      <c r="D1137" s="1223">
        <v>0</v>
      </c>
      <c r="E1137" s="1243" t="str">
        <f t="shared" si="37"/>
        <v>No</v>
      </c>
    </row>
    <row r="1138" spans="1:5" ht="12.75">
      <c r="A1138" s="1221"/>
      <c r="B1138" s="1221">
        <v>10</v>
      </c>
      <c r="C1138" s="1229" t="s">
        <v>1162</v>
      </c>
      <c r="D1138" s="1223">
        <v>52688.75</v>
      </c>
      <c r="E1138" s="1243" t="str">
        <f t="shared" si="37"/>
        <v>No</v>
      </c>
    </row>
    <row r="1139" spans="1:5" ht="12.75">
      <c r="A1139" s="1221"/>
      <c r="B1139" s="1221">
        <v>11</v>
      </c>
      <c r="C1139" s="1229" t="s">
        <v>1163</v>
      </c>
      <c r="D1139" s="1223">
        <v>0</v>
      </c>
      <c r="E1139" s="1243" t="str">
        <f t="shared" si="37"/>
        <v>No</v>
      </c>
    </row>
    <row r="1140" spans="1:5" ht="12.75">
      <c r="A1140" s="1221"/>
      <c r="B1140" s="1221">
        <v>12</v>
      </c>
      <c r="C1140" s="1229" t="s">
        <v>1164</v>
      </c>
      <c r="D1140" s="1223">
        <v>0</v>
      </c>
      <c r="E1140" s="1243" t="str">
        <f t="shared" si="37"/>
        <v>No</v>
      </c>
    </row>
    <row r="1141" spans="1:5" ht="12.75">
      <c r="A1141" s="1221"/>
      <c r="B1141" s="1221">
        <v>13</v>
      </c>
      <c r="C1141" s="1229" t="s">
        <v>214</v>
      </c>
      <c r="D1141" s="1223">
        <v>36570.66</v>
      </c>
      <c r="E1141" s="1243" t="str">
        <f t="shared" si="37"/>
        <v>No</v>
      </c>
    </row>
    <row r="1142" spans="1:5" ht="12.75">
      <c r="A1142" s="1221"/>
      <c r="B1142" s="1221">
        <v>14</v>
      </c>
      <c r="C1142" s="1229" t="s">
        <v>205</v>
      </c>
      <c r="D1142" s="1223">
        <v>20181.18</v>
      </c>
      <c r="E1142" s="1243" t="str">
        <f t="shared" si="37"/>
        <v>No</v>
      </c>
    </row>
    <row r="1143" spans="1:5" ht="12.75">
      <c r="A1143" s="1221"/>
      <c r="B1143" s="1221">
        <v>15</v>
      </c>
      <c r="C1143" s="1229" t="s">
        <v>206</v>
      </c>
      <c r="D1143" s="1223">
        <v>13888.71</v>
      </c>
      <c r="E1143" s="1243" t="str">
        <f t="shared" si="37"/>
        <v>No</v>
      </c>
    </row>
    <row r="1144" spans="1:5" ht="12.75">
      <c r="A1144" s="1221"/>
      <c r="B1144" s="1221">
        <v>16</v>
      </c>
      <c r="C1144" s="1229" t="s">
        <v>1167</v>
      </c>
      <c r="D1144" s="1223">
        <v>0</v>
      </c>
      <c r="E1144" s="1243" t="str">
        <f t="shared" si="37"/>
        <v>No</v>
      </c>
    </row>
    <row r="1145" spans="1:5" ht="12.75">
      <c r="A1145" s="1221"/>
      <c r="B1145" s="1221">
        <v>17</v>
      </c>
      <c r="C1145" s="1229" t="s">
        <v>1168</v>
      </c>
      <c r="D1145" s="1223">
        <v>18180</v>
      </c>
      <c r="E1145" s="1243" t="str">
        <f t="shared" si="37"/>
        <v>No</v>
      </c>
    </row>
    <row r="1146" spans="1:5" ht="12.75">
      <c r="A1146" s="1221"/>
      <c r="B1146" s="1221">
        <v>18</v>
      </c>
      <c r="C1146" s="1229" t="s">
        <v>1172</v>
      </c>
      <c r="D1146" s="1223">
        <v>961.1</v>
      </c>
      <c r="E1146" s="1243" t="str">
        <f t="shared" si="37"/>
        <v>No</v>
      </c>
    </row>
    <row r="1147" spans="1:5" ht="12.75">
      <c r="A1147" s="1221"/>
      <c r="B1147" s="1221">
        <v>19</v>
      </c>
      <c r="C1147" s="1229" t="s">
        <v>215</v>
      </c>
      <c r="D1147" s="1223">
        <v>0</v>
      </c>
      <c r="E1147" s="1243" t="str">
        <f t="shared" si="37"/>
        <v>No</v>
      </c>
    </row>
    <row r="1148" spans="1:5" ht="12.75">
      <c r="A1148" s="1221"/>
      <c r="B1148" s="1221">
        <v>20</v>
      </c>
      <c r="C1148" s="1229" t="s">
        <v>216</v>
      </c>
      <c r="D1148" s="1223">
        <v>0</v>
      </c>
      <c r="E1148" s="1243" t="str">
        <f t="shared" si="37"/>
        <v>No</v>
      </c>
    </row>
    <row r="1149" spans="1:5" ht="12.75">
      <c r="A1149" s="1221"/>
      <c r="B1149" s="1221">
        <v>21</v>
      </c>
      <c r="C1149" s="1229" t="s">
        <v>217</v>
      </c>
      <c r="D1149" s="1223">
        <v>4740</v>
      </c>
      <c r="E1149" s="1243" t="str">
        <f t="shared" si="37"/>
        <v>No</v>
      </c>
    </row>
    <row r="1150" spans="1:5" ht="12.75">
      <c r="A1150" s="1221"/>
      <c r="B1150" s="1221">
        <v>22</v>
      </c>
      <c r="C1150" s="1229" t="s">
        <v>218</v>
      </c>
      <c r="D1150" s="1223">
        <v>0</v>
      </c>
      <c r="E1150" s="1243" t="str">
        <f t="shared" si="37"/>
        <v>No</v>
      </c>
    </row>
    <row r="1151" spans="1:5" ht="12.75">
      <c r="A1151" s="1221"/>
      <c r="B1151" s="1221">
        <v>23</v>
      </c>
      <c r="C1151" s="1229" t="s">
        <v>219</v>
      </c>
      <c r="D1151" s="1223">
        <v>400</v>
      </c>
      <c r="E1151" s="1243" t="str">
        <f t="shared" si="37"/>
        <v>No</v>
      </c>
    </row>
    <row r="1152" spans="1:5" ht="12.75">
      <c r="A1152" s="1221"/>
      <c r="B1152" s="1221">
        <v>24</v>
      </c>
      <c r="C1152" s="1229" t="s">
        <v>220</v>
      </c>
      <c r="D1152" s="1223">
        <v>0</v>
      </c>
      <c r="E1152" s="1243" t="str">
        <f t="shared" si="37"/>
        <v>No</v>
      </c>
    </row>
    <row r="1153" spans="1:5" ht="12.75">
      <c r="A1153" s="1221"/>
      <c r="B1153" s="1221">
        <v>25</v>
      </c>
      <c r="C1153" s="1229" t="s">
        <v>1176</v>
      </c>
      <c r="D1153" s="1223">
        <v>0</v>
      </c>
      <c r="E1153" s="1243" t="str">
        <f t="shared" si="37"/>
        <v>No</v>
      </c>
    </row>
    <row r="1154" spans="1:5" ht="12.75">
      <c r="A1154" s="1221"/>
      <c r="B1154" s="1221">
        <v>31</v>
      </c>
      <c r="C1154" s="1229" t="s">
        <v>1179</v>
      </c>
      <c r="D1154" s="1223">
        <v>0</v>
      </c>
      <c r="E1154" s="1243" t="str">
        <f t="shared" si="37"/>
        <v>No</v>
      </c>
    </row>
    <row r="1155" spans="1:5" ht="12.75">
      <c r="A1155" s="1221"/>
      <c r="B1155" s="1221">
        <v>32</v>
      </c>
      <c r="C1155" s="1229" t="s">
        <v>249</v>
      </c>
      <c r="D1155" s="1223">
        <v>0</v>
      </c>
      <c r="E1155" s="1243" t="str">
        <f t="shared" si="37"/>
        <v>No</v>
      </c>
    </row>
    <row r="1156" spans="1:5" ht="12.75">
      <c r="A1156" s="1221"/>
      <c r="B1156" s="1221">
        <v>39</v>
      </c>
      <c r="C1156" s="1229" t="s">
        <v>1170</v>
      </c>
      <c r="D1156" s="1223">
        <v>4644</v>
      </c>
      <c r="E1156" s="1243" t="str">
        <f t="shared" si="37"/>
        <v>No</v>
      </c>
    </row>
    <row r="1157" spans="1:5" ht="12.75">
      <c r="A1157" s="1221"/>
      <c r="B1157" s="1221">
        <v>41</v>
      </c>
      <c r="C1157" s="1229" t="s">
        <v>207</v>
      </c>
      <c r="D1157" s="1227">
        <v>27916.46</v>
      </c>
      <c r="E1157" s="1243" t="str">
        <f t="shared" si="37"/>
        <v>No</v>
      </c>
    </row>
    <row r="1158" spans="1:5" ht="12.75">
      <c r="A1158" s="1221"/>
      <c r="B1158" s="1221">
        <v>42</v>
      </c>
      <c r="C1158" s="1229" t="s">
        <v>221</v>
      </c>
      <c r="D1158" s="1227">
        <v>3335</v>
      </c>
      <c r="E1158" s="1243" t="str">
        <f t="shared" si="37"/>
        <v>No</v>
      </c>
    </row>
    <row r="1159" spans="1:5" ht="12.75">
      <c r="A1159" s="1221"/>
      <c r="B1159" s="1221">
        <v>43</v>
      </c>
      <c r="C1159" s="1229" t="s">
        <v>959</v>
      </c>
      <c r="D1159" s="1227">
        <v>7582.89</v>
      </c>
      <c r="E1159" s="1243" t="str">
        <f t="shared" si="37"/>
        <v>No</v>
      </c>
    </row>
    <row r="1160" spans="1:5" ht="12.75">
      <c r="A1160" s="1221">
        <v>550000</v>
      </c>
      <c r="B1160" s="1221" t="s">
        <v>972</v>
      </c>
      <c r="C1160" s="1238" t="s">
        <v>406</v>
      </c>
      <c r="D1160" s="1227">
        <v>0</v>
      </c>
      <c r="E1160" s="1243">
        <f t="shared" si="37"/>
        <v>0</v>
      </c>
    </row>
    <row r="1161" spans="1:5" ht="12.75">
      <c r="A1161" s="1221">
        <v>550110</v>
      </c>
      <c r="B1161" s="1221" t="s">
        <v>972</v>
      </c>
      <c r="C1161" s="1222" t="s">
        <v>211</v>
      </c>
      <c r="D1161" s="1227">
        <v>0</v>
      </c>
      <c r="E1161" s="1244">
        <f>SUM(D1162:D1170)</f>
        <v>7033831</v>
      </c>
    </row>
    <row r="1162" spans="1:5" ht="12.75">
      <c r="A1162" s="1221"/>
      <c r="B1162" s="1221">
        <v>25</v>
      </c>
      <c r="C1162" s="1229" t="s">
        <v>1176</v>
      </c>
      <c r="D1162" s="1227">
        <v>135756</v>
      </c>
      <c r="E1162" s="1243" t="str">
        <f aca="true" t="shared" si="38" ref="E1162:E1170">IF(A1162&gt;0,D1162,"No")</f>
        <v>No</v>
      </c>
    </row>
    <row r="1163" spans="1:5" ht="12.75">
      <c r="A1163" s="1221"/>
      <c r="B1163" s="1221">
        <v>26</v>
      </c>
      <c r="C1163" s="1229" t="s">
        <v>407</v>
      </c>
      <c r="D1163" s="1227">
        <v>489209</v>
      </c>
      <c r="E1163" s="1243" t="str">
        <f t="shared" si="38"/>
        <v>No</v>
      </c>
    </row>
    <row r="1164" spans="1:5" ht="12.75">
      <c r="A1164" s="1225"/>
      <c r="B1164" s="1225">
        <v>27</v>
      </c>
      <c r="C1164" s="1241" t="s">
        <v>1153</v>
      </c>
      <c r="D1164" s="1227">
        <v>5114055</v>
      </c>
      <c r="E1164" s="1243" t="str">
        <f t="shared" si="38"/>
        <v>No</v>
      </c>
    </row>
    <row r="1165" spans="1:5" ht="12.75">
      <c r="A1165" s="1221"/>
      <c r="B1165" s="1221">
        <v>28</v>
      </c>
      <c r="C1165" s="1229" t="s">
        <v>1178</v>
      </c>
      <c r="D1165" s="1227">
        <v>631077</v>
      </c>
      <c r="E1165" s="1243" t="str">
        <f t="shared" si="38"/>
        <v>No</v>
      </c>
    </row>
    <row r="1166" spans="1:5" ht="12.75">
      <c r="A1166" s="1221"/>
      <c r="B1166" s="1221">
        <v>29</v>
      </c>
      <c r="C1166" s="1229" t="s">
        <v>1182</v>
      </c>
      <c r="D1166" s="1227">
        <v>182115</v>
      </c>
      <c r="E1166" s="1243" t="str">
        <f t="shared" si="38"/>
        <v>No</v>
      </c>
    </row>
    <row r="1167" spans="1:5" ht="12.75">
      <c r="A1167" s="1221"/>
      <c r="B1167" s="1221">
        <v>31</v>
      </c>
      <c r="C1167" s="1229" t="s">
        <v>1179</v>
      </c>
      <c r="D1167" s="1227">
        <v>169304</v>
      </c>
      <c r="E1167" s="1243" t="str">
        <f t="shared" si="38"/>
        <v>No</v>
      </c>
    </row>
    <row r="1168" spans="1:5" ht="12.75">
      <c r="A1168" s="1221"/>
      <c r="B1168" s="1221">
        <v>33</v>
      </c>
      <c r="C1168" s="1229" t="s">
        <v>1183</v>
      </c>
      <c r="D1168" s="1227">
        <v>0</v>
      </c>
      <c r="E1168" s="1243" t="str">
        <f t="shared" si="38"/>
        <v>No</v>
      </c>
    </row>
    <row r="1169" spans="1:5" ht="12.75">
      <c r="A1169" s="1221"/>
      <c r="B1169" s="1221">
        <v>35</v>
      </c>
      <c r="C1169" s="1229" t="s">
        <v>408</v>
      </c>
      <c r="D1169" s="1227">
        <v>212451</v>
      </c>
      <c r="E1169" s="1243" t="str">
        <f t="shared" si="38"/>
        <v>No</v>
      </c>
    </row>
    <row r="1170" spans="1:5" ht="12.75">
      <c r="A1170" s="1221"/>
      <c r="B1170" s="1221">
        <v>36</v>
      </c>
      <c r="C1170" s="1229" t="s">
        <v>409</v>
      </c>
      <c r="D1170" s="1227">
        <v>99864</v>
      </c>
      <c r="E1170" s="1243" t="str">
        <f t="shared" si="38"/>
        <v>No</v>
      </c>
    </row>
    <row r="1171" spans="1:5" ht="12.75">
      <c r="A1171" s="1221">
        <v>550111</v>
      </c>
      <c r="B1171" s="1221" t="s">
        <v>972</v>
      </c>
      <c r="C1171" s="1222" t="s">
        <v>239</v>
      </c>
      <c r="D1171" s="1227">
        <v>0</v>
      </c>
      <c r="E1171" s="1244">
        <f>SUM(D1172:D1180)</f>
        <v>118629</v>
      </c>
    </row>
    <row r="1172" spans="1:5" ht="12.75">
      <c r="A1172" s="1221"/>
      <c r="B1172" s="1221">
        <v>25</v>
      </c>
      <c r="C1172" s="1229" t="s">
        <v>1176</v>
      </c>
      <c r="D1172" s="1227">
        <v>6156</v>
      </c>
      <c r="E1172" s="1243" t="str">
        <f aca="true" t="shared" si="39" ref="E1172:E1180">IF(A1172&gt;0,D1172,"No")</f>
        <v>No</v>
      </c>
    </row>
    <row r="1173" spans="1:5" ht="12.75">
      <c r="A1173" s="1221"/>
      <c r="B1173" s="1221">
        <v>26</v>
      </c>
      <c r="C1173" s="1229" t="s">
        <v>407</v>
      </c>
      <c r="D1173" s="1227">
        <v>22434</v>
      </c>
      <c r="E1173" s="1243" t="str">
        <f t="shared" si="39"/>
        <v>No</v>
      </c>
    </row>
    <row r="1174" spans="1:5" ht="12.75">
      <c r="A1174" s="1221"/>
      <c r="B1174" s="1221">
        <v>27</v>
      </c>
      <c r="C1174" s="1229" t="s">
        <v>1153</v>
      </c>
      <c r="D1174" s="1227">
        <v>40500</v>
      </c>
      <c r="E1174" s="1243" t="str">
        <f t="shared" si="39"/>
        <v>No</v>
      </c>
    </row>
    <row r="1175" spans="1:5" ht="12.75">
      <c r="A1175" s="1221"/>
      <c r="B1175" s="1221">
        <v>28</v>
      </c>
      <c r="C1175" s="1229" t="s">
        <v>1178</v>
      </c>
      <c r="D1175" s="1223">
        <v>23430</v>
      </c>
      <c r="E1175" s="1243" t="str">
        <f t="shared" si="39"/>
        <v>No</v>
      </c>
    </row>
    <row r="1176" spans="1:5" ht="12.75">
      <c r="A1176" s="1221"/>
      <c r="B1176" s="1221">
        <v>29</v>
      </c>
      <c r="C1176" s="1229" t="s">
        <v>1182</v>
      </c>
      <c r="D1176" s="1223">
        <v>6750</v>
      </c>
      <c r="E1176" s="1243" t="str">
        <f t="shared" si="39"/>
        <v>No</v>
      </c>
    </row>
    <row r="1177" spans="1:5" ht="12.75">
      <c r="A1177" s="1221"/>
      <c r="B1177" s="1221">
        <v>31</v>
      </c>
      <c r="C1177" s="1229" t="s">
        <v>1179</v>
      </c>
      <c r="D1177" s="1223">
        <v>6510</v>
      </c>
      <c r="E1177" s="1243" t="str">
        <f t="shared" si="39"/>
        <v>No</v>
      </c>
    </row>
    <row r="1178" spans="1:5" ht="12.75">
      <c r="A1178" s="1221"/>
      <c r="B1178" s="1221">
        <v>33</v>
      </c>
      <c r="C1178" s="1229" t="s">
        <v>1183</v>
      </c>
      <c r="D1178" s="1223">
        <v>0</v>
      </c>
      <c r="E1178" s="1243" t="str">
        <f t="shared" si="39"/>
        <v>No</v>
      </c>
    </row>
    <row r="1179" spans="1:5" ht="12.75">
      <c r="A1179" s="1221"/>
      <c r="B1179" s="1221">
        <v>35</v>
      </c>
      <c r="C1179" s="1229" t="s">
        <v>408</v>
      </c>
      <c r="D1179" s="1223">
        <v>7854</v>
      </c>
      <c r="E1179" s="1243" t="str">
        <f t="shared" si="39"/>
        <v>No</v>
      </c>
    </row>
    <row r="1180" spans="1:5" ht="12.75">
      <c r="A1180" s="1221"/>
      <c r="B1180" s="1221">
        <v>36</v>
      </c>
      <c r="C1180" s="1229" t="s">
        <v>409</v>
      </c>
      <c r="D1180" s="1223">
        <v>4995</v>
      </c>
      <c r="E1180" s="1243" t="str">
        <f t="shared" si="39"/>
        <v>No</v>
      </c>
    </row>
    <row r="1181" spans="1:5" ht="12.75">
      <c r="A1181" s="1221">
        <v>550112</v>
      </c>
      <c r="B1181" s="1221" t="s">
        <v>972</v>
      </c>
      <c r="C1181" s="1222" t="s">
        <v>240</v>
      </c>
      <c r="D1181" s="1223">
        <v>0</v>
      </c>
      <c r="E1181" s="1244">
        <f>SUM(D1182:D1190)</f>
        <v>442512.75</v>
      </c>
    </row>
    <row r="1182" spans="1:5" ht="12.75">
      <c r="A1182" s="1221"/>
      <c r="B1182" s="1221">
        <v>25</v>
      </c>
      <c r="C1182" s="1229" t="s">
        <v>1176</v>
      </c>
      <c r="D1182" s="1223">
        <v>4901.25</v>
      </c>
      <c r="E1182" s="1243" t="str">
        <f aca="true" t="shared" si="40" ref="E1182:E1190">IF(A1182&gt;0,D1182,"No")</f>
        <v>No</v>
      </c>
    </row>
    <row r="1183" spans="1:5" ht="12.75">
      <c r="A1183" s="1221"/>
      <c r="B1183" s="1221">
        <v>26</v>
      </c>
      <c r="C1183" s="1229" t="s">
        <v>407</v>
      </c>
      <c r="D1183" s="1223">
        <v>30659.75</v>
      </c>
      <c r="E1183" s="1243" t="str">
        <f t="shared" si="40"/>
        <v>No</v>
      </c>
    </row>
    <row r="1184" spans="1:5" ht="12.75">
      <c r="A1184" s="1221"/>
      <c r="B1184" s="1221">
        <v>27</v>
      </c>
      <c r="C1184" s="1229" t="s">
        <v>1153</v>
      </c>
      <c r="D1184" s="1223">
        <v>347233.75</v>
      </c>
      <c r="E1184" s="1243" t="str">
        <f t="shared" si="40"/>
        <v>No</v>
      </c>
    </row>
    <row r="1185" spans="1:5" ht="12.75">
      <c r="A1185" s="1221"/>
      <c r="B1185" s="1221">
        <v>28</v>
      </c>
      <c r="C1185" s="1229" t="s">
        <v>1178</v>
      </c>
      <c r="D1185" s="1223">
        <v>24228</v>
      </c>
      <c r="E1185" s="1243" t="str">
        <f t="shared" si="40"/>
        <v>No</v>
      </c>
    </row>
    <row r="1186" spans="1:5" ht="12.75">
      <c r="A1186" s="1221"/>
      <c r="B1186" s="1221">
        <v>29</v>
      </c>
      <c r="C1186" s="1229" t="s">
        <v>1182</v>
      </c>
      <c r="D1186" s="1223">
        <v>9666</v>
      </c>
      <c r="E1186" s="1243" t="str">
        <f t="shared" si="40"/>
        <v>No</v>
      </c>
    </row>
    <row r="1187" spans="1:5" ht="12.75">
      <c r="A1187" s="1221"/>
      <c r="B1187" s="1221">
        <v>31</v>
      </c>
      <c r="C1187" s="1229" t="s">
        <v>1179</v>
      </c>
      <c r="D1187" s="1223">
        <v>8545.5</v>
      </c>
      <c r="E1187" s="1243" t="str">
        <f t="shared" si="40"/>
        <v>No</v>
      </c>
    </row>
    <row r="1188" spans="1:5" ht="12.75">
      <c r="A1188" s="1221"/>
      <c r="B1188" s="1221">
        <v>33</v>
      </c>
      <c r="C1188" s="1229" t="s">
        <v>1183</v>
      </c>
      <c r="D1188" s="1223">
        <v>0</v>
      </c>
      <c r="E1188" s="1243" t="str">
        <f t="shared" si="40"/>
        <v>No</v>
      </c>
    </row>
    <row r="1189" spans="1:5" ht="12.75">
      <c r="A1189" s="1221"/>
      <c r="B1189" s="1221">
        <v>35</v>
      </c>
      <c r="C1189" s="1229" t="s">
        <v>408</v>
      </c>
      <c r="D1189" s="1223">
        <v>11455.5</v>
      </c>
      <c r="E1189" s="1243" t="str">
        <f t="shared" si="40"/>
        <v>No</v>
      </c>
    </row>
    <row r="1190" spans="1:5" ht="12.75">
      <c r="A1190" s="1221"/>
      <c r="B1190" s="1221">
        <v>36</v>
      </c>
      <c r="C1190" s="1229" t="s">
        <v>409</v>
      </c>
      <c r="D1190" s="1223">
        <v>5823</v>
      </c>
      <c r="E1190" s="1243" t="str">
        <f t="shared" si="40"/>
        <v>No</v>
      </c>
    </row>
    <row r="1191" spans="1:5" ht="12.75">
      <c r="A1191" s="1221">
        <v>550113</v>
      </c>
      <c r="B1191" s="1221" t="s">
        <v>972</v>
      </c>
      <c r="C1191" s="1222" t="s">
        <v>410</v>
      </c>
      <c r="D1191" s="1223">
        <v>0</v>
      </c>
      <c r="E1191" s="1244">
        <f>SUM(D1192)</f>
        <v>48537.65</v>
      </c>
    </row>
    <row r="1192" spans="1:5" ht="12.75">
      <c r="A1192" s="1221"/>
      <c r="B1192" s="1221">
        <v>27</v>
      </c>
      <c r="C1192" s="1229" t="s">
        <v>1153</v>
      </c>
      <c r="D1192" s="1257">
        <v>48537.65</v>
      </c>
      <c r="E1192" s="1243" t="str">
        <f>IF(A1192&gt;0,D1192,"No")</f>
        <v>No</v>
      </c>
    </row>
    <row r="1193" spans="1:5" ht="12.75">
      <c r="A1193" s="1221">
        <v>550114</v>
      </c>
      <c r="B1193" s="1221" t="s">
        <v>972</v>
      </c>
      <c r="C1193" s="1222" t="s">
        <v>411</v>
      </c>
      <c r="D1193" s="1223">
        <v>0</v>
      </c>
      <c r="E1193" s="1244">
        <f>SUM(D1194)</f>
        <v>0</v>
      </c>
    </row>
    <row r="1194" spans="1:5" ht="12.75">
      <c r="A1194" s="1221"/>
      <c r="B1194" s="1221">
        <v>27</v>
      </c>
      <c r="C1194" s="1229" t="s">
        <v>1153</v>
      </c>
      <c r="D1194" s="1223">
        <v>0</v>
      </c>
      <c r="E1194" s="1243" t="str">
        <f>IF(A1194&gt;0,D1194,"No")</f>
        <v>No</v>
      </c>
    </row>
    <row r="1195" spans="1:5" ht="12.75">
      <c r="A1195" s="1221">
        <v>550115</v>
      </c>
      <c r="B1195" s="1221" t="s">
        <v>972</v>
      </c>
      <c r="C1195" s="1222" t="s">
        <v>1103</v>
      </c>
      <c r="D1195" s="1223">
        <v>0</v>
      </c>
      <c r="E1195" s="1244">
        <f>SUM(D1196)</f>
        <v>917982.19</v>
      </c>
    </row>
    <row r="1196" spans="1:5" ht="12.75">
      <c r="A1196" s="1221"/>
      <c r="B1196" s="1221">
        <v>27</v>
      </c>
      <c r="C1196" s="1229" t="s">
        <v>1153</v>
      </c>
      <c r="D1196" s="1223">
        <v>917982.19</v>
      </c>
      <c r="E1196" s="1243" t="str">
        <f>IF(A1196&gt;0,D1196,"No")</f>
        <v>No</v>
      </c>
    </row>
    <row r="1197" spans="1:5" ht="12.75">
      <c r="A1197" s="1221">
        <v>550120</v>
      </c>
      <c r="B1197" s="1221" t="s">
        <v>972</v>
      </c>
      <c r="C1197" s="1222" t="s">
        <v>223</v>
      </c>
      <c r="D1197" s="1223">
        <v>0</v>
      </c>
      <c r="E1197" s="1244">
        <f>SUM(D1198:D1206)</f>
        <v>13065.25</v>
      </c>
    </row>
    <row r="1198" spans="1:5" ht="12.75">
      <c r="A1198" s="1221"/>
      <c r="B1198" s="1221">
        <v>25</v>
      </c>
      <c r="C1198" s="1229" t="s">
        <v>1176</v>
      </c>
      <c r="D1198" s="1223">
        <v>0</v>
      </c>
      <c r="E1198" s="1243" t="str">
        <f aca="true" t="shared" si="41" ref="E1198:E1206">IF(A1198&gt;0,D1198,"No")</f>
        <v>No</v>
      </c>
    </row>
    <row r="1199" spans="1:5" ht="12.75">
      <c r="A1199" s="1221"/>
      <c r="B1199" s="1221">
        <v>26</v>
      </c>
      <c r="C1199" s="1229" t="s">
        <v>407</v>
      </c>
      <c r="D1199" s="1223">
        <v>0</v>
      </c>
      <c r="E1199" s="1243" t="str">
        <f t="shared" si="41"/>
        <v>No</v>
      </c>
    </row>
    <row r="1200" spans="1:5" ht="12.75">
      <c r="A1200" s="1221"/>
      <c r="B1200" s="1221">
        <v>27</v>
      </c>
      <c r="C1200" s="1229" t="s">
        <v>1153</v>
      </c>
      <c r="D1200" s="1223">
        <v>0</v>
      </c>
      <c r="E1200" s="1243" t="str">
        <f t="shared" si="41"/>
        <v>No</v>
      </c>
    </row>
    <row r="1201" spans="1:5" ht="12.75">
      <c r="A1201" s="1221"/>
      <c r="B1201" s="1221">
        <v>28</v>
      </c>
      <c r="C1201" s="1229" t="s">
        <v>1178</v>
      </c>
      <c r="D1201" s="1223">
        <v>0</v>
      </c>
      <c r="E1201" s="1243" t="str">
        <f t="shared" si="41"/>
        <v>No</v>
      </c>
    </row>
    <row r="1202" spans="1:5" ht="12.75">
      <c r="A1202" s="1221"/>
      <c r="B1202" s="1221">
        <v>29</v>
      </c>
      <c r="C1202" s="1229" t="s">
        <v>1182</v>
      </c>
      <c r="D1202" s="1223">
        <v>0</v>
      </c>
      <c r="E1202" s="1243" t="str">
        <f t="shared" si="41"/>
        <v>No</v>
      </c>
    </row>
    <row r="1203" spans="1:5" ht="12.75">
      <c r="A1203" s="1221"/>
      <c r="B1203" s="1221">
        <v>31</v>
      </c>
      <c r="C1203" s="1229" t="s">
        <v>1179</v>
      </c>
      <c r="D1203" s="1223">
        <v>13065.25</v>
      </c>
      <c r="E1203" s="1243" t="str">
        <f t="shared" si="41"/>
        <v>No</v>
      </c>
    </row>
    <row r="1204" spans="1:5" ht="12.75">
      <c r="A1204" s="1221"/>
      <c r="B1204" s="1221">
        <v>33</v>
      </c>
      <c r="C1204" s="1229" t="s">
        <v>1183</v>
      </c>
      <c r="D1204" s="1223">
        <v>0</v>
      </c>
      <c r="E1204" s="1243" t="str">
        <f t="shared" si="41"/>
        <v>No</v>
      </c>
    </row>
    <row r="1205" spans="1:5" ht="12.75">
      <c r="A1205" s="1221"/>
      <c r="B1205" s="1221">
        <v>35</v>
      </c>
      <c r="C1205" s="1229" t="s">
        <v>408</v>
      </c>
      <c r="D1205" s="1223">
        <v>0</v>
      </c>
      <c r="E1205" s="1243" t="str">
        <f t="shared" si="41"/>
        <v>No</v>
      </c>
    </row>
    <row r="1206" spans="1:5" ht="12.75">
      <c r="A1206" s="1221"/>
      <c r="B1206" s="1221">
        <v>36</v>
      </c>
      <c r="C1206" s="1229" t="s">
        <v>409</v>
      </c>
      <c r="D1206" s="1223">
        <v>0</v>
      </c>
      <c r="E1206" s="1243" t="str">
        <f t="shared" si="41"/>
        <v>No</v>
      </c>
    </row>
    <row r="1207" spans="1:5" ht="12.75">
      <c r="A1207" s="1221">
        <v>550130</v>
      </c>
      <c r="B1207" s="1221" t="s">
        <v>972</v>
      </c>
      <c r="C1207" s="1222" t="s">
        <v>225</v>
      </c>
      <c r="D1207" s="1223">
        <v>0</v>
      </c>
      <c r="E1207" s="1244">
        <f>SUM(D1208:D1216)</f>
        <v>924549.56</v>
      </c>
    </row>
    <row r="1208" spans="1:5" ht="12.75">
      <c r="A1208" s="1221"/>
      <c r="B1208" s="1221">
        <v>25</v>
      </c>
      <c r="C1208" s="1229" t="s">
        <v>1176</v>
      </c>
      <c r="D1208" s="1223">
        <v>0</v>
      </c>
      <c r="E1208" s="1243" t="str">
        <f aca="true" t="shared" si="42" ref="E1208:E1216">IF(A1208&gt;0,D1208,"No")</f>
        <v>No</v>
      </c>
    </row>
    <row r="1209" spans="1:5" ht="12.75">
      <c r="A1209" s="1221"/>
      <c r="B1209" s="1221">
        <v>26</v>
      </c>
      <c r="C1209" s="1229" t="s">
        <v>407</v>
      </c>
      <c r="D1209" s="1223">
        <v>0</v>
      </c>
      <c r="E1209" s="1243" t="str">
        <f t="shared" si="42"/>
        <v>No</v>
      </c>
    </row>
    <row r="1210" spans="1:5" ht="12.75">
      <c r="A1210" s="1221"/>
      <c r="B1210" s="1221">
        <v>27</v>
      </c>
      <c r="C1210" s="1229" t="s">
        <v>1153</v>
      </c>
      <c r="D1210" s="1223">
        <v>924549.56</v>
      </c>
      <c r="E1210" s="1243" t="str">
        <f t="shared" si="42"/>
        <v>No</v>
      </c>
    </row>
    <row r="1211" spans="1:5" ht="12.75">
      <c r="A1211" s="1221"/>
      <c r="B1211" s="1221">
        <v>28</v>
      </c>
      <c r="C1211" s="1229" t="s">
        <v>1178</v>
      </c>
      <c r="D1211" s="1223">
        <v>0</v>
      </c>
      <c r="E1211" s="1243" t="str">
        <f t="shared" si="42"/>
        <v>No</v>
      </c>
    </row>
    <row r="1212" spans="1:5" ht="12.75">
      <c r="A1212" s="1221"/>
      <c r="B1212" s="1221">
        <v>29</v>
      </c>
      <c r="C1212" s="1229" t="s">
        <v>1182</v>
      </c>
      <c r="D1212" s="1223">
        <v>0</v>
      </c>
      <c r="E1212" s="1243" t="str">
        <f t="shared" si="42"/>
        <v>No</v>
      </c>
    </row>
    <row r="1213" spans="1:5" ht="12.75">
      <c r="A1213" s="1221"/>
      <c r="B1213" s="1221">
        <v>31</v>
      </c>
      <c r="C1213" s="1229" t="s">
        <v>1179</v>
      </c>
      <c r="D1213" s="1223">
        <v>0</v>
      </c>
      <c r="E1213" s="1243" t="str">
        <f t="shared" si="42"/>
        <v>No</v>
      </c>
    </row>
    <row r="1214" spans="1:5" ht="12.75">
      <c r="A1214" s="1221"/>
      <c r="B1214" s="1221">
        <v>33</v>
      </c>
      <c r="C1214" s="1229" t="s">
        <v>1183</v>
      </c>
      <c r="D1214" s="1223">
        <v>0</v>
      </c>
      <c r="E1214" s="1243" t="str">
        <f t="shared" si="42"/>
        <v>No</v>
      </c>
    </row>
    <row r="1215" spans="1:5" ht="12.75">
      <c r="A1215" s="1221"/>
      <c r="B1215" s="1221">
        <v>35</v>
      </c>
      <c r="C1215" s="1229" t="s">
        <v>408</v>
      </c>
      <c r="D1215" s="1223">
        <v>0</v>
      </c>
      <c r="E1215" s="1243" t="str">
        <f t="shared" si="42"/>
        <v>No</v>
      </c>
    </row>
    <row r="1216" spans="1:5" ht="12.75">
      <c r="A1216" s="1221"/>
      <c r="B1216" s="1221">
        <v>36</v>
      </c>
      <c r="C1216" s="1229" t="s">
        <v>409</v>
      </c>
      <c r="D1216" s="1223">
        <v>0</v>
      </c>
      <c r="E1216" s="1243" t="str">
        <f t="shared" si="42"/>
        <v>No</v>
      </c>
    </row>
    <row r="1217" spans="1:5" ht="12.75">
      <c r="A1217" s="1221">
        <v>550140</v>
      </c>
      <c r="B1217" s="1221" t="s">
        <v>972</v>
      </c>
      <c r="C1217" s="1222" t="s">
        <v>226</v>
      </c>
      <c r="D1217" s="1223">
        <v>0</v>
      </c>
      <c r="E1217" s="1244">
        <f>SUM(D1218:D1225)</f>
        <v>0</v>
      </c>
    </row>
    <row r="1218" spans="1:5" ht="12.75">
      <c r="A1218" s="1221"/>
      <c r="B1218" s="1221">
        <v>18</v>
      </c>
      <c r="C1218" s="1229" t="s">
        <v>1172</v>
      </c>
      <c r="D1218" s="1223">
        <v>0</v>
      </c>
      <c r="E1218" s="1243" t="str">
        <f aca="true" t="shared" si="43" ref="E1218:E1225">IF(A1218&gt;0,D1218,"No")</f>
        <v>No</v>
      </c>
    </row>
    <row r="1219" spans="1:5" ht="12.75">
      <c r="A1219" s="1221"/>
      <c r="B1219" s="1221">
        <v>21</v>
      </c>
      <c r="C1219" s="1229" t="s">
        <v>217</v>
      </c>
      <c r="D1219" s="1223">
        <v>0</v>
      </c>
      <c r="E1219" s="1243" t="str">
        <f t="shared" si="43"/>
        <v>No</v>
      </c>
    </row>
    <row r="1220" spans="1:5" ht="12.75">
      <c r="A1220" s="1221"/>
      <c r="B1220" s="1221">
        <v>25</v>
      </c>
      <c r="C1220" s="1229" t="s">
        <v>1176</v>
      </c>
      <c r="D1220" s="1223">
        <v>0</v>
      </c>
      <c r="E1220" s="1243" t="str">
        <f t="shared" si="43"/>
        <v>No</v>
      </c>
    </row>
    <row r="1221" spans="1:5" ht="12.75">
      <c r="A1221" s="1221"/>
      <c r="B1221" s="1221">
        <v>26</v>
      </c>
      <c r="C1221" s="1229" t="s">
        <v>407</v>
      </c>
      <c r="D1221" s="1223">
        <v>0</v>
      </c>
      <c r="E1221" s="1243" t="str">
        <f t="shared" si="43"/>
        <v>No</v>
      </c>
    </row>
    <row r="1222" spans="1:5" ht="12.75">
      <c r="A1222" s="1249"/>
      <c r="B1222" s="1249">
        <v>27</v>
      </c>
      <c r="C1222" s="1250" t="s">
        <v>1153</v>
      </c>
      <c r="D1222" s="1251">
        <v>0</v>
      </c>
      <c r="E1222" s="1243" t="str">
        <f t="shared" si="43"/>
        <v>No</v>
      </c>
    </row>
    <row r="1223" spans="1:5" ht="12.75">
      <c r="A1223" s="1221"/>
      <c r="B1223" s="1221">
        <v>28</v>
      </c>
      <c r="C1223" s="1229" t="s">
        <v>1178</v>
      </c>
      <c r="D1223" s="1223">
        <v>0</v>
      </c>
      <c r="E1223" s="1243" t="str">
        <f t="shared" si="43"/>
        <v>No</v>
      </c>
    </row>
    <row r="1224" spans="1:5" ht="12.75">
      <c r="A1224" s="1221"/>
      <c r="B1224" s="1221">
        <v>29</v>
      </c>
      <c r="C1224" s="1229" t="s">
        <v>1182</v>
      </c>
      <c r="D1224" s="1223">
        <v>0</v>
      </c>
      <c r="E1224" s="1243" t="str">
        <f t="shared" si="43"/>
        <v>No</v>
      </c>
    </row>
    <row r="1225" spans="1:5" ht="12.75">
      <c r="A1225" s="1221"/>
      <c r="B1225" s="1221">
        <v>34</v>
      </c>
      <c r="C1225" s="1229" t="s">
        <v>1173</v>
      </c>
      <c r="D1225" s="1223">
        <v>0</v>
      </c>
      <c r="E1225" s="1243" t="str">
        <f t="shared" si="43"/>
        <v>No</v>
      </c>
    </row>
    <row r="1226" spans="1:5" ht="12.75">
      <c r="A1226" s="1221">
        <v>550150</v>
      </c>
      <c r="B1226" s="1221" t="s">
        <v>972</v>
      </c>
      <c r="C1226" s="1222" t="s">
        <v>412</v>
      </c>
      <c r="D1226" s="1223">
        <v>0</v>
      </c>
      <c r="E1226" s="1244">
        <f>SUM(D1227:D1231)</f>
        <v>10143</v>
      </c>
    </row>
    <row r="1227" spans="1:5" ht="12.75">
      <c r="A1227" s="1221"/>
      <c r="B1227" s="1221">
        <v>25</v>
      </c>
      <c r="C1227" s="1229" t="s">
        <v>1176</v>
      </c>
      <c r="D1227" s="1223">
        <v>500</v>
      </c>
      <c r="E1227" s="1243" t="str">
        <f>IF(A1227&gt;0,D1227,"No")</f>
        <v>No</v>
      </c>
    </row>
    <row r="1228" spans="1:5" ht="12.75">
      <c r="A1228" s="1221"/>
      <c r="B1228" s="1221">
        <v>26</v>
      </c>
      <c r="C1228" s="1229" t="s">
        <v>407</v>
      </c>
      <c r="D1228" s="1223">
        <v>0</v>
      </c>
      <c r="E1228" s="1243" t="str">
        <f>IF(A1228&gt;0,D1228,"No")</f>
        <v>No</v>
      </c>
    </row>
    <row r="1229" spans="1:5" ht="12.75">
      <c r="A1229" s="1221"/>
      <c r="B1229" s="1221">
        <v>27</v>
      </c>
      <c r="C1229" s="1229" t="s">
        <v>1153</v>
      </c>
      <c r="D1229" s="1223">
        <v>9643</v>
      </c>
      <c r="E1229" s="1243" t="str">
        <f>IF(A1229&gt;0,D1229,"No")</f>
        <v>No</v>
      </c>
    </row>
    <row r="1230" spans="1:5" ht="12.75">
      <c r="A1230" s="1221"/>
      <c r="B1230" s="1221">
        <v>28</v>
      </c>
      <c r="C1230" s="1229" t="s">
        <v>1178</v>
      </c>
      <c r="D1230" s="1223">
        <v>0</v>
      </c>
      <c r="E1230" s="1243" t="str">
        <f>IF(A1230&gt;0,D1230,"No")</f>
        <v>No</v>
      </c>
    </row>
    <row r="1231" spans="1:5" ht="12.75">
      <c r="A1231" s="1221"/>
      <c r="B1231" s="1221">
        <v>29</v>
      </c>
      <c r="C1231" s="1241" t="s">
        <v>1182</v>
      </c>
      <c r="D1231" s="1223">
        <v>0</v>
      </c>
      <c r="E1231" s="1243" t="str">
        <f>IF(A1231&gt;0,D1231,"No")</f>
        <v>No</v>
      </c>
    </row>
    <row r="1232" spans="1:5" ht="12.75">
      <c r="A1232" s="1221">
        <v>550160</v>
      </c>
      <c r="B1232" s="1221" t="s">
        <v>972</v>
      </c>
      <c r="C1232" s="1226" t="s">
        <v>413</v>
      </c>
      <c r="D1232" s="1223">
        <v>0</v>
      </c>
      <c r="E1232" s="1244">
        <f>SUM(D1233:D1265)</f>
        <v>502629.45999999996</v>
      </c>
    </row>
    <row r="1233" spans="1:5" ht="12.75">
      <c r="A1233" s="1221"/>
      <c r="B1233" s="1221">
        <v>1</v>
      </c>
      <c r="C1233" s="1241" t="s">
        <v>212</v>
      </c>
      <c r="D1233" s="1223">
        <v>890</v>
      </c>
      <c r="E1233" s="1243" t="str">
        <f aca="true" t="shared" si="44" ref="E1233:E1265">IF(A1233&gt;0,D1233,"No")</f>
        <v>No</v>
      </c>
    </row>
    <row r="1234" spans="1:5" ht="12.75">
      <c r="A1234" s="1221"/>
      <c r="B1234" s="1221">
        <v>2</v>
      </c>
      <c r="C1234" s="1241" t="s">
        <v>213</v>
      </c>
      <c r="D1234" s="1223">
        <v>0</v>
      </c>
      <c r="E1234" s="1243" t="str">
        <f t="shared" si="44"/>
        <v>No</v>
      </c>
    </row>
    <row r="1235" spans="1:5" ht="12.75">
      <c r="A1235" s="1221"/>
      <c r="B1235" s="1221">
        <v>4</v>
      </c>
      <c r="C1235" s="1241" t="s">
        <v>1157</v>
      </c>
      <c r="D1235" s="1223">
        <v>0</v>
      </c>
      <c r="E1235" s="1243" t="str">
        <f t="shared" si="44"/>
        <v>No</v>
      </c>
    </row>
    <row r="1236" spans="1:5" ht="12.75">
      <c r="A1236" s="1221"/>
      <c r="B1236" s="1221">
        <v>5</v>
      </c>
      <c r="C1236" s="1241" t="s">
        <v>204</v>
      </c>
      <c r="D1236" s="1223">
        <v>0</v>
      </c>
      <c r="E1236" s="1243" t="str">
        <f t="shared" si="44"/>
        <v>No</v>
      </c>
    </row>
    <row r="1237" spans="1:5" ht="12.75">
      <c r="A1237" s="1221"/>
      <c r="B1237" s="1221">
        <v>6</v>
      </c>
      <c r="C1237" s="1241" t="s">
        <v>1159</v>
      </c>
      <c r="D1237" s="1223">
        <v>0</v>
      </c>
      <c r="E1237" s="1243" t="str">
        <f t="shared" si="44"/>
        <v>No</v>
      </c>
    </row>
    <row r="1238" spans="1:5" ht="12.75">
      <c r="A1238" s="1221"/>
      <c r="B1238" s="1221">
        <v>7</v>
      </c>
      <c r="C1238" s="1241" t="s">
        <v>1160</v>
      </c>
      <c r="D1238" s="1223">
        <v>0</v>
      </c>
      <c r="E1238" s="1243" t="str">
        <f t="shared" si="44"/>
        <v>No</v>
      </c>
    </row>
    <row r="1239" spans="1:5" ht="12.75">
      <c r="A1239" s="1221"/>
      <c r="B1239" s="1221">
        <v>8</v>
      </c>
      <c r="C1239" s="1241" t="s">
        <v>1181</v>
      </c>
      <c r="D1239" s="1223">
        <v>0</v>
      </c>
      <c r="E1239" s="1243" t="str">
        <f t="shared" si="44"/>
        <v>No</v>
      </c>
    </row>
    <row r="1240" spans="1:5" ht="12.75">
      <c r="A1240" s="1221"/>
      <c r="B1240" s="1221">
        <v>9</v>
      </c>
      <c r="C1240" s="1241" t="s">
        <v>1161</v>
      </c>
      <c r="D1240" s="1223">
        <v>0</v>
      </c>
      <c r="E1240" s="1243" t="str">
        <f t="shared" si="44"/>
        <v>No</v>
      </c>
    </row>
    <row r="1241" spans="1:5" ht="12.75">
      <c r="A1241" s="1221"/>
      <c r="B1241" s="1221">
        <v>10</v>
      </c>
      <c r="C1241" s="1241" t="s">
        <v>1162</v>
      </c>
      <c r="D1241" s="1223">
        <v>0</v>
      </c>
      <c r="E1241" s="1243" t="str">
        <f t="shared" si="44"/>
        <v>No</v>
      </c>
    </row>
    <row r="1242" spans="1:5" ht="12.75">
      <c r="A1242" s="1221"/>
      <c r="B1242" s="1221">
        <v>11</v>
      </c>
      <c r="C1242" s="1241" t="s">
        <v>1163</v>
      </c>
      <c r="D1242" s="1223">
        <v>0</v>
      </c>
      <c r="E1242" s="1243" t="str">
        <f t="shared" si="44"/>
        <v>No</v>
      </c>
    </row>
    <row r="1243" spans="1:5" ht="12.75">
      <c r="A1243" s="1221"/>
      <c r="B1243" s="1221">
        <v>12</v>
      </c>
      <c r="C1243" s="1241" t="s">
        <v>1164</v>
      </c>
      <c r="D1243" s="1223">
        <v>0</v>
      </c>
      <c r="E1243" s="1243" t="str">
        <f t="shared" si="44"/>
        <v>No</v>
      </c>
    </row>
    <row r="1244" spans="1:5" ht="12.75">
      <c r="A1244" s="1221"/>
      <c r="B1244" s="1221">
        <v>13</v>
      </c>
      <c r="C1244" s="1241" t="s">
        <v>214</v>
      </c>
      <c r="D1244" s="1223">
        <v>7838</v>
      </c>
      <c r="E1244" s="1243" t="str">
        <f t="shared" si="44"/>
        <v>No</v>
      </c>
    </row>
    <row r="1245" spans="1:5" ht="12.75">
      <c r="A1245" s="1221"/>
      <c r="B1245" s="1221">
        <v>14</v>
      </c>
      <c r="C1245" s="1241" t="s">
        <v>205</v>
      </c>
      <c r="D1245" s="1223">
        <v>0</v>
      </c>
      <c r="E1245" s="1243" t="str">
        <f t="shared" si="44"/>
        <v>No</v>
      </c>
    </row>
    <row r="1246" spans="1:5" ht="12.75">
      <c r="A1246" s="1221"/>
      <c r="B1246" s="1221">
        <v>15</v>
      </c>
      <c r="C1246" s="1241" t="s">
        <v>206</v>
      </c>
      <c r="D1246" s="1223">
        <v>0</v>
      </c>
      <c r="E1246" s="1243" t="str">
        <f t="shared" si="44"/>
        <v>No</v>
      </c>
    </row>
    <row r="1247" spans="1:5" ht="12.75">
      <c r="A1247" s="1221"/>
      <c r="B1247" s="1221">
        <v>16</v>
      </c>
      <c r="C1247" s="1241" t="s">
        <v>1167</v>
      </c>
      <c r="D1247" s="1223">
        <v>0</v>
      </c>
      <c r="E1247" s="1243" t="str">
        <f t="shared" si="44"/>
        <v>No</v>
      </c>
    </row>
    <row r="1248" spans="1:5" ht="12.75">
      <c r="A1248" s="1221"/>
      <c r="B1248" s="1221">
        <v>17</v>
      </c>
      <c r="C1248" s="1241" t="s">
        <v>1168</v>
      </c>
      <c r="D1248" s="1223">
        <v>0</v>
      </c>
      <c r="E1248" s="1243" t="str">
        <f t="shared" si="44"/>
        <v>No</v>
      </c>
    </row>
    <row r="1249" spans="1:5" ht="12.75">
      <c r="A1249" s="1221"/>
      <c r="B1249" s="1221">
        <v>18</v>
      </c>
      <c r="C1249" s="1241" t="s">
        <v>1172</v>
      </c>
      <c r="D1249" s="1223">
        <v>0</v>
      </c>
      <c r="E1249" s="1243" t="str">
        <f t="shared" si="44"/>
        <v>No</v>
      </c>
    </row>
    <row r="1250" spans="1:5" ht="12.75">
      <c r="A1250" s="1221"/>
      <c r="B1250" s="1221">
        <v>23</v>
      </c>
      <c r="C1250" s="1241" t="s">
        <v>219</v>
      </c>
      <c r="D1250" s="1223">
        <v>0</v>
      </c>
      <c r="E1250" s="1243" t="str">
        <f t="shared" si="44"/>
        <v>No</v>
      </c>
    </row>
    <row r="1251" spans="1:5" ht="12.75">
      <c r="A1251" s="1221"/>
      <c r="B1251" s="1221">
        <v>25</v>
      </c>
      <c r="C1251" s="1241" t="s">
        <v>1176</v>
      </c>
      <c r="D1251" s="1223">
        <v>5525</v>
      </c>
      <c r="E1251" s="1243" t="str">
        <f t="shared" si="44"/>
        <v>No</v>
      </c>
    </row>
    <row r="1252" spans="1:5" ht="12.75">
      <c r="A1252" s="1221"/>
      <c r="B1252" s="1221">
        <v>26</v>
      </c>
      <c r="C1252" s="1241" t="s">
        <v>407</v>
      </c>
      <c r="D1252" s="1223">
        <v>29793.22</v>
      </c>
      <c r="E1252" s="1243" t="str">
        <f t="shared" si="44"/>
        <v>No</v>
      </c>
    </row>
    <row r="1253" spans="1:5" ht="12.75">
      <c r="A1253" s="1221"/>
      <c r="B1253" s="1221">
        <v>27</v>
      </c>
      <c r="C1253" s="1241" t="s">
        <v>1153</v>
      </c>
      <c r="D1253" s="1223">
        <v>408395</v>
      </c>
      <c r="E1253" s="1243" t="str">
        <f t="shared" si="44"/>
        <v>No</v>
      </c>
    </row>
    <row r="1254" spans="1:5" ht="12.75">
      <c r="A1254" s="1221"/>
      <c r="B1254" s="1221">
        <v>28</v>
      </c>
      <c r="C1254" s="1241" t="s">
        <v>1178</v>
      </c>
      <c r="D1254" s="1223">
        <v>5405.24</v>
      </c>
      <c r="E1254" s="1243" t="str">
        <f t="shared" si="44"/>
        <v>No</v>
      </c>
    </row>
    <row r="1255" spans="1:5" ht="12.75">
      <c r="A1255" s="1221"/>
      <c r="B1255" s="1221">
        <v>29</v>
      </c>
      <c r="C1255" s="1241" t="s">
        <v>1182</v>
      </c>
      <c r="D1255" s="1223">
        <v>2520</v>
      </c>
      <c r="E1255" s="1243" t="str">
        <f t="shared" si="44"/>
        <v>No</v>
      </c>
    </row>
    <row r="1256" spans="1:5" ht="12.75">
      <c r="A1256" s="1221"/>
      <c r="B1256" s="1221">
        <v>31</v>
      </c>
      <c r="C1256" s="1241" t="s">
        <v>1179</v>
      </c>
      <c r="D1256" s="1223">
        <v>0</v>
      </c>
      <c r="E1256" s="1243" t="str">
        <f t="shared" si="44"/>
        <v>No</v>
      </c>
    </row>
    <row r="1257" spans="1:5" ht="12.75">
      <c r="A1257" s="1221"/>
      <c r="B1257" s="1221">
        <v>32</v>
      </c>
      <c r="C1257" s="1241" t="s">
        <v>249</v>
      </c>
      <c r="D1257" s="1223">
        <v>0</v>
      </c>
      <c r="E1257" s="1243" t="str">
        <f t="shared" si="44"/>
        <v>No</v>
      </c>
    </row>
    <row r="1258" spans="1:5" ht="12.75">
      <c r="A1258" s="1221"/>
      <c r="B1258" s="1221">
        <v>33</v>
      </c>
      <c r="C1258" s="1241" t="s">
        <v>1183</v>
      </c>
      <c r="D1258" s="1223">
        <v>0</v>
      </c>
      <c r="E1258" s="1243" t="str">
        <f t="shared" si="44"/>
        <v>No</v>
      </c>
    </row>
    <row r="1259" spans="1:5" ht="12.75">
      <c r="A1259" s="1221"/>
      <c r="B1259" s="1221">
        <v>34</v>
      </c>
      <c r="C1259" s="1241" t="s">
        <v>1173</v>
      </c>
      <c r="D1259" s="1223">
        <v>0</v>
      </c>
      <c r="E1259" s="1243" t="str">
        <f t="shared" si="44"/>
        <v>No</v>
      </c>
    </row>
    <row r="1260" spans="1:5" ht="12.75">
      <c r="A1260" s="1221"/>
      <c r="B1260" s="1221">
        <v>35</v>
      </c>
      <c r="C1260" s="1241" t="s">
        <v>408</v>
      </c>
      <c r="D1260" s="1223">
        <v>8735</v>
      </c>
      <c r="E1260" s="1243" t="str">
        <f t="shared" si="44"/>
        <v>No</v>
      </c>
    </row>
    <row r="1261" spans="1:5" ht="12.75">
      <c r="A1261" s="1221"/>
      <c r="B1261" s="1221">
        <v>36</v>
      </c>
      <c r="C1261" s="1241" t="s">
        <v>409</v>
      </c>
      <c r="D1261" s="1223">
        <v>32000</v>
      </c>
      <c r="E1261" s="1243" t="str">
        <f t="shared" si="44"/>
        <v>No</v>
      </c>
    </row>
    <row r="1262" spans="1:5" ht="12.75">
      <c r="A1262" s="1221"/>
      <c r="B1262" s="1221">
        <v>37</v>
      </c>
      <c r="C1262" s="1241" t="s">
        <v>414</v>
      </c>
      <c r="D1262" s="1223">
        <v>328</v>
      </c>
      <c r="E1262" s="1243" t="str">
        <f t="shared" si="44"/>
        <v>No</v>
      </c>
    </row>
    <row r="1263" spans="1:5" ht="12.75">
      <c r="A1263" s="1221"/>
      <c r="B1263" s="1221">
        <v>38</v>
      </c>
      <c r="C1263" s="1241" t="s">
        <v>255</v>
      </c>
      <c r="D1263" s="1223">
        <v>0</v>
      </c>
      <c r="E1263" s="1243" t="str">
        <f t="shared" si="44"/>
        <v>No</v>
      </c>
    </row>
    <row r="1264" spans="1:5" ht="12.75">
      <c r="A1264" s="1221"/>
      <c r="B1264" s="1221">
        <v>39</v>
      </c>
      <c r="C1264" s="1241" t="s">
        <v>1170</v>
      </c>
      <c r="D1264" s="1223">
        <v>1200</v>
      </c>
      <c r="E1264" s="1243" t="str">
        <f t="shared" si="44"/>
        <v>No</v>
      </c>
    </row>
    <row r="1265" spans="1:5" ht="12.75">
      <c r="A1265" s="1221"/>
      <c r="B1265" s="1221">
        <v>42</v>
      </c>
      <c r="C1265" s="1241" t="s">
        <v>221</v>
      </c>
      <c r="D1265" s="1223">
        <v>0</v>
      </c>
      <c r="E1265" s="1243" t="str">
        <f t="shared" si="44"/>
        <v>No</v>
      </c>
    </row>
    <row r="1266" spans="1:5" ht="12.75">
      <c r="A1266" s="1221">
        <v>550170</v>
      </c>
      <c r="B1266" s="1221" t="s">
        <v>972</v>
      </c>
      <c r="C1266" s="1226" t="s">
        <v>415</v>
      </c>
      <c r="D1266" s="1223">
        <v>0</v>
      </c>
      <c r="E1266" s="1244">
        <f>SUM(D1267:D1284)</f>
        <v>602288.64</v>
      </c>
    </row>
    <row r="1267" spans="1:5" ht="12.75">
      <c r="A1267" s="1221"/>
      <c r="B1267" s="1221">
        <v>1</v>
      </c>
      <c r="C1267" s="1241" t="s">
        <v>212</v>
      </c>
      <c r="D1267" s="1223">
        <v>0</v>
      </c>
      <c r="E1267" s="1243" t="str">
        <f aca="true" t="shared" si="45" ref="E1267:E1284">IF(A1267&gt;0,D1267,"No")</f>
        <v>No</v>
      </c>
    </row>
    <row r="1268" spans="1:5" ht="12.75">
      <c r="A1268" s="1221"/>
      <c r="B1268" s="1221">
        <v>2</v>
      </c>
      <c r="C1268" s="1241" t="s">
        <v>213</v>
      </c>
      <c r="D1268" s="1223">
        <v>0</v>
      </c>
      <c r="E1268" s="1243" t="str">
        <f t="shared" si="45"/>
        <v>No</v>
      </c>
    </row>
    <row r="1269" spans="1:5" ht="12.75">
      <c r="A1269" s="1221"/>
      <c r="B1269" s="1221">
        <v>13</v>
      </c>
      <c r="C1269" s="1241" t="s">
        <v>214</v>
      </c>
      <c r="D1269" s="1223">
        <v>26930.06</v>
      </c>
      <c r="E1269" s="1243" t="str">
        <f t="shared" si="45"/>
        <v>No</v>
      </c>
    </row>
    <row r="1270" spans="1:5" ht="12.75">
      <c r="A1270" s="1221"/>
      <c r="B1270" s="1221">
        <v>14</v>
      </c>
      <c r="C1270" s="1241" t="s">
        <v>205</v>
      </c>
      <c r="D1270" s="1223">
        <v>0</v>
      </c>
      <c r="E1270" s="1243" t="str">
        <f t="shared" si="45"/>
        <v>No</v>
      </c>
    </row>
    <row r="1271" spans="1:5" ht="12.75">
      <c r="A1271" s="1221"/>
      <c r="B1271" s="1221">
        <v>17</v>
      </c>
      <c r="C1271" s="1241" t="s">
        <v>1168</v>
      </c>
      <c r="D1271" s="1223">
        <v>31154.03</v>
      </c>
      <c r="E1271" s="1243" t="str">
        <f t="shared" si="45"/>
        <v>No</v>
      </c>
    </row>
    <row r="1272" spans="1:5" ht="12.75">
      <c r="A1272" s="1221"/>
      <c r="B1272" s="1221">
        <v>18</v>
      </c>
      <c r="C1272" s="1241" t="s">
        <v>1172</v>
      </c>
      <c r="D1272" s="1223">
        <v>123</v>
      </c>
      <c r="E1272" s="1243" t="str">
        <f t="shared" si="45"/>
        <v>No</v>
      </c>
    </row>
    <row r="1273" spans="1:5" ht="12.75">
      <c r="A1273" s="1221"/>
      <c r="B1273" s="1221">
        <v>25</v>
      </c>
      <c r="C1273" s="1241" t="s">
        <v>1176</v>
      </c>
      <c r="D1273" s="1223">
        <v>11674.49</v>
      </c>
      <c r="E1273" s="1243" t="str">
        <f t="shared" si="45"/>
        <v>No</v>
      </c>
    </row>
    <row r="1274" spans="1:5" ht="12.75">
      <c r="A1274" s="1221"/>
      <c r="B1274" s="1221">
        <v>26</v>
      </c>
      <c r="C1274" s="1241" t="s">
        <v>407</v>
      </c>
      <c r="D1274" s="1223">
        <v>10341.38</v>
      </c>
      <c r="E1274" s="1243" t="str">
        <f t="shared" si="45"/>
        <v>No</v>
      </c>
    </row>
    <row r="1275" spans="1:5" ht="12.75">
      <c r="A1275" s="1221"/>
      <c r="B1275" s="1221">
        <v>27</v>
      </c>
      <c r="C1275" s="1241" t="s">
        <v>1153</v>
      </c>
      <c r="D1275" s="1223">
        <v>231784.34</v>
      </c>
      <c r="E1275" s="1243" t="str">
        <f t="shared" si="45"/>
        <v>No</v>
      </c>
    </row>
    <row r="1276" spans="1:5" ht="12.75">
      <c r="A1276" s="1221"/>
      <c r="B1276" s="1221">
        <v>28</v>
      </c>
      <c r="C1276" s="1241" t="s">
        <v>1178</v>
      </c>
      <c r="D1276" s="1223">
        <v>92103.17</v>
      </c>
      <c r="E1276" s="1243" t="str">
        <f t="shared" si="45"/>
        <v>No</v>
      </c>
    </row>
    <row r="1277" spans="1:5" ht="12.75">
      <c r="A1277" s="1221"/>
      <c r="B1277" s="1221">
        <v>29</v>
      </c>
      <c r="C1277" s="1241" t="s">
        <v>1182</v>
      </c>
      <c r="D1277" s="1223">
        <v>191644.43</v>
      </c>
      <c r="E1277" s="1243" t="str">
        <f t="shared" si="45"/>
        <v>No</v>
      </c>
    </row>
    <row r="1278" spans="1:5" ht="12.75">
      <c r="A1278" s="1221"/>
      <c r="B1278" s="1221">
        <v>31</v>
      </c>
      <c r="C1278" s="1241" t="s">
        <v>1179</v>
      </c>
      <c r="D1278" s="1223">
        <v>1944</v>
      </c>
      <c r="E1278" s="1243" t="str">
        <f t="shared" si="45"/>
        <v>No</v>
      </c>
    </row>
    <row r="1279" spans="1:5" ht="12.75">
      <c r="A1279" s="1221"/>
      <c r="B1279" s="1221">
        <v>33</v>
      </c>
      <c r="C1279" s="1229" t="s">
        <v>1183</v>
      </c>
      <c r="D1279" s="1223">
        <v>0</v>
      </c>
      <c r="E1279" s="1243" t="str">
        <f t="shared" si="45"/>
        <v>No</v>
      </c>
    </row>
    <row r="1280" spans="1:5" ht="12.75">
      <c r="A1280" s="1221"/>
      <c r="B1280" s="1221">
        <v>34</v>
      </c>
      <c r="C1280" s="1229" t="s">
        <v>1173</v>
      </c>
      <c r="D1280" s="1223">
        <v>0</v>
      </c>
      <c r="E1280" s="1243" t="str">
        <f t="shared" si="45"/>
        <v>No</v>
      </c>
    </row>
    <row r="1281" spans="1:5" ht="12.75">
      <c r="A1281" s="1221"/>
      <c r="B1281" s="1221">
        <v>35</v>
      </c>
      <c r="C1281" s="1229" t="s">
        <v>408</v>
      </c>
      <c r="D1281" s="1223">
        <v>1857.43</v>
      </c>
      <c r="E1281" s="1243" t="str">
        <f t="shared" si="45"/>
        <v>No</v>
      </c>
    </row>
    <row r="1282" spans="1:5" ht="12.75">
      <c r="A1282" s="1221"/>
      <c r="B1282" s="1221">
        <v>36</v>
      </c>
      <c r="C1282" s="1229" t="s">
        <v>409</v>
      </c>
      <c r="D1282" s="1223">
        <v>0</v>
      </c>
      <c r="E1282" s="1243" t="str">
        <f t="shared" si="45"/>
        <v>No</v>
      </c>
    </row>
    <row r="1283" spans="1:5" ht="12.75">
      <c r="A1283" s="1221"/>
      <c r="B1283" s="1221">
        <v>37</v>
      </c>
      <c r="C1283" s="1229" t="s">
        <v>414</v>
      </c>
      <c r="D1283" s="1223">
        <v>0</v>
      </c>
      <c r="E1283" s="1243" t="str">
        <f t="shared" si="45"/>
        <v>No</v>
      </c>
    </row>
    <row r="1284" spans="1:5" ht="12.75">
      <c r="A1284" s="1221"/>
      <c r="B1284" s="1221">
        <v>39</v>
      </c>
      <c r="C1284" s="1229" t="s">
        <v>1170</v>
      </c>
      <c r="D1284" s="1223">
        <v>2732.31</v>
      </c>
      <c r="E1284" s="1243" t="str">
        <f t="shared" si="45"/>
        <v>No</v>
      </c>
    </row>
    <row r="1285" spans="1:5" ht="12.75">
      <c r="A1285" s="1221">
        <v>550180</v>
      </c>
      <c r="B1285" s="1221" t="s">
        <v>972</v>
      </c>
      <c r="C1285" s="1222" t="s">
        <v>416</v>
      </c>
      <c r="D1285" s="1223">
        <v>0</v>
      </c>
      <c r="E1285" s="1244">
        <f>SUM(D1286:D1305)</f>
        <v>371979.26999999996</v>
      </c>
    </row>
    <row r="1286" spans="1:5" ht="12.75">
      <c r="A1286" s="1221"/>
      <c r="B1286" s="1221">
        <v>1</v>
      </c>
      <c r="C1286" s="1229" t="s">
        <v>212</v>
      </c>
      <c r="D1286" s="1223">
        <v>343</v>
      </c>
      <c r="E1286" s="1243" t="str">
        <f aca="true" t="shared" si="46" ref="E1286:E1305">IF(A1286&gt;0,D1286,"No")</f>
        <v>No</v>
      </c>
    </row>
    <row r="1287" spans="1:5" ht="12.75">
      <c r="A1287" s="1221"/>
      <c r="B1287" s="1221">
        <v>2</v>
      </c>
      <c r="C1287" s="1229" t="s">
        <v>213</v>
      </c>
      <c r="D1287" s="1223">
        <v>3425</v>
      </c>
      <c r="E1287" s="1243" t="str">
        <f t="shared" si="46"/>
        <v>No</v>
      </c>
    </row>
    <row r="1288" spans="1:5" ht="12.75">
      <c r="A1288" s="1221"/>
      <c r="B1288" s="1221">
        <v>13</v>
      </c>
      <c r="C1288" s="1229" t="s">
        <v>214</v>
      </c>
      <c r="D1288" s="1223">
        <v>3500</v>
      </c>
      <c r="E1288" s="1243" t="str">
        <f t="shared" si="46"/>
        <v>No</v>
      </c>
    </row>
    <row r="1289" spans="1:5" ht="12.75">
      <c r="A1289" s="1221"/>
      <c r="B1289" s="1221">
        <v>15</v>
      </c>
      <c r="C1289" s="1229" t="s">
        <v>206</v>
      </c>
      <c r="D1289" s="1223">
        <v>3665</v>
      </c>
      <c r="E1289" s="1243" t="str">
        <f t="shared" si="46"/>
        <v>No</v>
      </c>
    </row>
    <row r="1290" spans="1:5" ht="12.75">
      <c r="A1290" s="1221"/>
      <c r="B1290" s="1221">
        <v>17</v>
      </c>
      <c r="C1290" s="1229" t="s">
        <v>1168</v>
      </c>
      <c r="D1290" s="1223">
        <v>1500</v>
      </c>
      <c r="E1290" s="1243" t="str">
        <f t="shared" si="46"/>
        <v>No</v>
      </c>
    </row>
    <row r="1291" spans="1:5" ht="12.75">
      <c r="A1291" s="1221"/>
      <c r="B1291" s="1221">
        <v>18</v>
      </c>
      <c r="C1291" s="1229" t="s">
        <v>1172</v>
      </c>
      <c r="D1291" s="1223">
        <v>1025</v>
      </c>
      <c r="E1291" s="1243" t="str">
        <f t="shared" si="46"/>
        <v>No</v>
      </c>
    </row>
    <row r="1292" spans="1:5" ht="12.75">
      <c r="A1292" s="1221"/>
      <c r="B1292" s="1221">
        <v>21</v>
      </c>
      <c r="C1292" s="1229" t="s">
        <v>217</v>
      </c>
      <c r="D1292" s="1223">
        <v>0</v>
      </c>
      <c r="E1292" s="1243" t="str">
        <f t="shared" si="46"/>
        <v>No</v>
      </c>
    </row>
    <row r="1293" spans="1:5" ht="12.75">
      <c r="A1293" s="1221"/>
      <c r="B1293" s="1221">
        <v>25</v>
      </c>
      <c r="C1293" s="1229" t="s">
        <v>1176</v>
      </c>
      <c r="D1293" s="1223">
        <v>9395</v>
      </c>
      <c r="E1293" s="1243" t="str">
        <f t="shared" si="46"/>
        <v>No</v>
      </c>
    </row>
    <row r="1294" spans="1:5" ht="12.75">
      <c r="A1294" s="1221"/>
      <c r="B1294" s="1221">
        <v>26</v>
      </c>
      <c r="C1294" s="1229" t="s">
        <v>407</v>
      </c>
      <c r="D1294" s="1223">
        <v>1850</v>
      </c>
      <c r="E1294" s="1243" t="str">
        <f t="shared" si="46"/>
        <v>No</v>
      </c>
    </row>
    <row r="1295" spans="1:5" ht="12.75">
      <c r="A1295" s="1221"/>
      <c r="B1295" s="1221">
        <v>27</v>
      </c>
      <c r="C1295" s="1229" t="s">
        <v>1153</v>
      </c>
      <c r="D1295" s="1223">
        <v>140887.45</v>
      </c>
      <c r="E1295" s="1243" t="str">
        <f t="shared" si="46"/>
        <v>No</v>
      </c>
    </row>
    <row r="1296" spans="1:5" ht="12.75">
      <c r="A1296" s="1221"/>
      <c r="B1296" s="1221">
        <v>28</v>
      </c>
      <c r="C1296" s="1229" t="s">
        <v>1178</v>
      </c>
      <c r="D1296" s="1223">
        <v>45557.67</v>
      </c>
      <c r="E1296" s="1243" t="str">
        <f t="shared" si="46"/>
        <v>No</v>
      </c>
    </row>
    <row r="1297" spans="1:5" ht="12.75">
      <c r="A1297" s="1221"/>
      <c r="B1297" s="1221">
        <v>29</v>
      </c>
      <c r="C1297" s="1229" t="s">
        <v>1182</v>
      </c>
      <c r="D1297" s="1223">
        <v>85931.11</v>
      </c>
      <c r="E1297" s="1243" t="str">
        <f t="shared" si="46"/>
        <v>No</v>
      </c>
    </row>
    <row r="1298" spans="1:5" ht="12.75">
      <c r="A1298" s="1221"/>
      <c r="B1298" s="1221">
        <v>31</v>
      </c>
      <c r="C1298" s="1229" t="s">
        <v>1179</v>
      </c>
      <c r="D1298" s="1223">
        <v>0</v>
      </c>
      <c r="E1298" s="1243" t="str">
        <f t="shared" si="46"/>
        <v>No</v>
      </c>
    </row>
    <row r="1299" spans="1:5" ht="12.75">
      <c r="A1299" s="1221"/>
      <c r="B1299" s="1221">
        <v>32</v>
      </c>
      <c r="C1299" s="1229" t="s">
        <v>249</v>
      </c>
      <c r="D1299" s="1223">
        <v>0</v>
      </c>
      <c r="E1299" s="1243" t="str">
        <f t="shared" si="46"/>
        <v>No</v>
      </c>
    </row>
    <row r="1300" spans="1:5" ht="12.75">
      <c r="A1300" s="1221"/>
      <c r="B1300" s="1221">
        <v>33</v>
      </c>
      <c r="C1300" s="1229" t="s">
        <v>1183</v>
      </c>
      <c r="D1300" s="1223">
        <v>0</v>
      </c>
      <c r="E1300" s="1243" t="str">
        <f t="shared" si="46"/>
        <v>No</v>
      </c>
    </row>
    <row r="1301" spans="1:5" ht="12.75">
      <c r="A1301" s="1221"/>
      <c r="B1301" s="1221">
        <v>34</v>
      </c>
      <c r="C1301" s="1229" t="s">
        <v>1173</v>
      </c>
      <c r="D1301" s="1223">
        <v>0</v>
      </c>
      <c r="E1301" s="1243" t="str">
        <f t="shared" si="46"/>
        <v>No</v>
      </c>
    </row>
    <row r="1302" spans="1:5" ht="12.75">
      <c r="A1302" s="1221"/>
      <c r="B1302" s="1221">
        <v>35</v>
      </c>
      <c r="C1302" s="1229" t="s">
        <v>408</v>
      </c>
      <c r="D1302" s="1223">
        <v>3726</v>
      </c>
      <c r="E1302" s="1243" t="str">
        <f t="shared" si="46"/>
        <v>No</v>
      </c>
    </row>
    <row r="1303" spans="1:5" ht="12.75">
      <c r="A1303" s="1221"/>
      <c r="B1303" s="1221">
        <v>36</v>
      </c>
      <c r="C1303" s="1229" t="s">
        <v>409</v>
      </c>
      <c r="D1303" s="1223">
        <v>0</v>
      </c>
      <c r="E1303" s="1243" t="str">
        <f t="shared" si="46"/>
        <v>No</v>
      </c>
    </row>
    <row r="1304" spans="1:5" ht="12.75">
      <c r="A1304" s="1221"/>
      <c r="B1304" s="1221">
        <v>37</v>
      </c>
      <c r="C1304" s="1229" t="s">
        <v>414</v>
      </c>
      <c r="D1304" s="1223">
        <v>1930</v>
      </c>
      <c r="E1304" s="1243" t="str">
        <f t="shared" si="46"/>
        <v>No</v>
      </c>
    </row>
    <row r="1305" spans="1:5" ht="12.75">
      <c r="A1305" s="1221"/>
      <c r="B1305" s="1221">
        <v>39</v>
      </c>
      <c r="C1305" s="1229" t="s">
        <v>1170</v>
      </c>
      <c r="D1305" s="1223">
        <v>69244.04</v>
      </c>
      <c r="E1305" s="1243" t="str">
        <f t="shared" si="46"/>
        <v>No</v>
      </c>
    </row>
    <row r="1306" spans="1:5" ht="12.75">
      <c r="A1306" s="1221">
        <v>550181</v>
      </c>
      <c r="B1306" s="1221" t="s">
        <v>972</v>
      </c>
      <c r="C1306" s="1222" t="s">
        <v>417</v>
      </c>
      <c r="D1306" s="1223">
        <v>0</v>
      </c>
      <c r="E1306" s="1244">
        <f>SUM(D1307:D1309)</f>
        <v>0</v>
      </c>
    </row>
    <row r="1307" spans="1:5" ht="12.75">
      <c r="A1307" s="1221"/>
      <c r="B1307" s="1221">
        <v>26</v>
      </c>
      <c r="C1307" s="1229" t="s">
        <v>407</v>
      </c>
      <c r="D1307" s="1223">
        <v>0</v>
      </c>
      <c r="E1307" s="1243" t="str">
        <f>IF(A1307&gt;0,D1307,"No")</f>
        <v>No</v>
      </c>
    </row>
    <row r="1308" spans="1:5" ht="12.75">
      <c r="A1308" s="1221"/>
      <c r="B1308" s="1221">
        <v>27</v>
      </c>
      <c r="C1308" s="1229" t="s">
        <v>1153</v>
      </c>
      <c r="D1308" s="1223">
        <v>0</v>
      </c>
      <c r="E1308" s="1243" t="str">
        <f>IF(A1308&gt;0,D1308,"No")</f>
        <v>No</v>
      </c>
    </row>
    <row r="1309" spans="1:5" ht="12.75">
      <c r="A1309" s="1221"/>
      <c r="B1309" s="1221">
        <v>29</v>
      </c>
      <c r="C1309" s="1229" t="s">
        <v>1182</v>
      </c>
      <c r="D1309" s="1223">
        <v>0</v>
      </c>
      <c r="E1309" s="1243" t="str">
        <f>IF(A1309&gt;0,D1309,"No")</f>
        <v>No</v>
      </c>
    </row>
    <row r="1310" spans="1:5" ht="12.75">
      <c r="A1310" s="1221">
        <v>550182</v>
      </c>
      <c r="B1310" s="1221" t="s">
        <v>972</v>
      </c>
      <c r="C1310" s="1222" t="s">
        <v>418</v>
      </c>
      <c r="D1310" s="1223">
        <v>0</v>
      </c>
      <c r="E1310" s="1244">
        <f>SUM(D1311)</f>
        <v>0</v>
      </c>
    </row>
    <row r="1311" spans="1:5" ht="12.75">
      <c r="A1311" s="1221"/>
      <c r="B1311" s="1221">
        <v>27</v>
      </c>
      <c r="C1311" s="1229" t="s">
        <v>1153</v>
      </c>
      <c r="D1311" s="1223">
        <v>0</v>
      </c>
      <c r="E1311" s="1243" t="str">
        <f>IF(A1311&gt;0,D1311,"No")</f>
        <v>No</v>
      </c>
    </row>
    <row r="1312" spans="1:5" ht="12.75">
      <c r="A1312" s="1221">
        <v>550190</v>
      </c>
      <c r="B1312" s="1221" t="s">
        <v>972</v>
      </c>
      <c r="C1312" s="1222" t="s">
        <v>419</v>
      </c>
      <c r="D1312" s="1223">
        <v>0</v>
      </c>
      <c r="E1312" s="1244">
        <f>SUM(D1313:D1325)</f>
        <v>187060.69</v>
      </c>
    </row>
    <row r="1313" spans="1:5" ht="12.75">
      <c r="A1313" s="1221"/>
      <c r="B1313" s="1221">
        <v>1</v>
      </c>
      <c r="C1313" s="1229" t="s">
        <v>212</v>
      </c>
      <c r="D1313" s="1223">
        <v>0</v>
      </c>
      <c r="E1313" s="1243" t="str">
        <f aca="true" t="shared" si="47" ref="E1313:E1325">IF(A1313&gt;0,D1313,"No")</f>
        <v>No</v>
      </c>
    </row>
    <row r="1314" spans="1:5" ht="12.75">
      <c r="A1314" s="1221"/>
      <c r="B1314" s="1221">
        <v>2</v>
      </c>
      <c r="C1314" s="1229" t="s">
        <v>213</v>
      </c>
      <c r="D1314" s="1223">
        <v>0</v>
      </c>
      <c r="E1314" s="1243" t="str">
        <f t="shared" si="47"/>
        <v>No</v>
      </c>
    </row>
    <row r="1315" spans="1:5" ht="12.75">
      <c r="A1315" s="1221"/>
      <c r="B1315" s="1221">
        <v>13</v>
      </c>
      <c r="C1315" s="1229" t="s">
        <v>214</v>
      </c>
      <c r="D1315" s="1223">
        <v>0</v>
      </c>
      <c r="E1315" s="1243" t="str">
        <f t="shared" si="47"/>
        <v>No</v>
      </c>
    </row>
    <row r="1316" spans="1:5" ht="12.75">
      <c r="A1316" s="1221"/>
      <c r="B1316" s="1221">
        <v>14</v>
      </c>
      <c r="C1316" s="1229" t="s">
        <v>205</v>
      </c>
      <c r="D1316" s="1223">
        <v>0</v>
      </c>
      <c r="E1316" s="1243" t="str">
        <f t="shared" si="47"/>
        <v>No</v>
      </c>
    </row>
    <row r="1317" spans="1:5" ht="12.75">
      <c r="A1317" s="1221"/>
      <c r="B1317" s="1221">
        <v>17</v>
      </c>
      <c r="C1317" s="1229" t="s">
        <v>1168</v>
      </c>
      <c r="D1317" s="1223">
        <v>0</v>
      </c>
      <c r="E1317" s="1243" t="str">
        <f t="shared" si="47"/>
        <v>No</v>
      </c>
    </row>
    <row r="1318" spans="1:5" ht="12.75">
      <c r="A1318" s="1221"/>
      <c r="B1318" s="1221">
        <v>25</v>
      </c>
      <c r="C1318" s="1229" t="s">
        <v>1176</v>
      </c>
      <c r="D1318" s="1223">
        <v>4815</v>
      </c>
      <c r="E1318" s="1243" t="str">
        <f t="shared" si="47"/>
        <v>No</v>
      </c>
    </row>
    <row r="1319" spans="1:5" ht="12.75">
      <c r="A1319" s="1221"/>
      <c r="B1319" s="1221">
        <v>26</v>
      </c>
      <c r="C1319" s="1229" t="s">
        <v>407</v>
      </c>
      <c r="D1319" s="1223">
        <v>4415</v>
      </c>
      <c r="E1319" s="1243" t="str">
        <f t="shared" si="47"/>
        <v>No</v>
      </c>
    </row>
    <row r="1320" spans="1:5" ht="12.75">
      <c r="A1320" s="1221"/>
      <c r="B1320" s="1221">
        <v>27</v>
      </c>
      <c r="C1320" s="1229" t="s">
        <v>1153</v>
      </c>
      <c r="D1320" s="1223">
        <v>83969.13</v>
      </c>
      <c r="E1320" s="1243" t="str">
        <f t="shared" si="47"/>
        <v>No</v>
      </c>
    </row>
    <row r="1321" spans="1:5" ht="12.75">
      <c r="A1321" s="1221"/>
      <c r="B1321" s="1221">
        <v>28</v>
      </c>
      <c r="C1321" s="1229" t="s">
        <v>1178</v>
      </c>
      <c r="D1321" s="1223">
        <v>76606.94</v>
      </c>
      <c r="E1321" s="1243" t="str">
        <f t="shared" si="47"/>
        <v>No</v>
      </c>
    </row>
    <row r="1322" spans="1:5" ht="12.75">
      <c r="A1322" s="1221"/>
      <c r="B1322" s="1221">
        <v>29</v>
      </c>
      <c r="C1322" s="1229" t="s">
        <v>1182</v>
      </c>
      <c r="D1322" s="1223">
        <v>17254.62</v>
      </c>
      <c r="E1322" s="1243" t="str">
        <f t="shared" si="47"/>
        <v>No</v>
      </c>
    </row>
    <row r="1323" spans="1:5" ht="12.75">
      <c r="A1323" s="1221"/>
      <c r="B1323" s="1221">
        <v>31</v>
      </c>
      <c r="C1323" s="1229" t="s">
        <v>1179</v>
      </c>
      <c r="D1323" s="1223">
        <v>0</v>
      </c>
      <c r="E1323" s="1243" t="str">
        <f t="shared" si="47"/>
        <v>No</v>
      </c>
    </row>
    <row r="1324" spans="1:5" ht="12.75">
      <c r="A1324" s="1221"/>
      <c r="B1324" s="1221">
        <v>33</v>
      </c>
      <c r="C1324" s="1229" t="s">
        <v>1183</v>
      </c>
      <c r="D1324" s="1223">
        <v>0</v>
      </c>
      <c r="E1324" s="1243" t="str">
        <f t="shared" si="47"/>
        <v>No</v>
      </c>
    </row>
    <row r="1325" spans="1:5" ht="12.75">
      <c r="A1325" s="1221"/>
      <c r="B1325" s="1221">
        <v>34</v>
      </c>
      <c r="C1325" s="1229" t="s">
        <v>1173</v>
      </c>
      <c r="D1325" s="1223">
        <v>0</v>
      </c>
      <c r="E1325" s="1243" t="str">
        <f t="shared" si="47"/>
        <v>No</v>
      </c>
    </row>
    <row r="1326" spans="1:5" ht="12.75">
      <c r="A1326" s="1221">
        <v>550200</v>
      </c>
      <c r="B1326" s="1221" t="s">
        <v>972</v>
      </c>
      <c r="C1326" s="1222" t="s">
        <v>420</v>
      </c>
      <c r="D1326" s="1223">
        <v>0</v>
      </c>
      <c r="E1326" s="1244">
        <f>SUM(D1327:D1330)</f>
        <v>4048263.32</v>
      </c>
    </row>
    <row r="1327" spans="1:5" ht="12.75">
      <c r="A1327" s="1221"/>
      <c r="B1327" s="1221">
        <v>18</v>
      </c>
      <c r="C1327" s="1229" t="s">
        <v>1172</v>
      </c>
      <c r="D1327" s="1223">
        <v>0</v>
      </c>
      <c r="E1327" s="1243" t="str">
        <f>IF(A1327&gt;0,D1327,"No")</f>
        <v>No</v>
      </c>
    </row>
    <row r="1328" spans="1:5" ht="12.75">
      <c r="A1328" s="1221"/>
      <c r="B1328" s="1221">
        <v>19</v>
      </c>
      <c r="C1328" s="1229" t="s">
        <v>215</v>
      </c>
      <c r="D1328" s="1223">
        <v>3327068.32</v>
      </c>
      <c r="E1328" s="1243" t="str">
        <f>IF(A1328&gt;0,D1328,"No")</f>
        <v>No</v>
      </c>
    </row>
    <row r="1329" spans="1:5" ht="12.75">
      <c r="A1329" s="1221"/>
      <c r="B1329" s="1221">
        <v>20</v>
      </c>
      <c r="C1329" s="1229" t="s">
        <v>216</v>
      </c>
      <c r="D1329" s="1223">
        <v>721195</v>
      </c>
      <c r="E1329" s="1243" t="str">
        <f>IF(A1329&gt;0,D1329,"No")</f>
        <v>No</v>
      </c>
    </row>
    <row r="1330" spans="1:5" ht="12.75">
      <c r="A1330" s="1221"/>
      <c r="B1330" s="1221">
        <v>34</v>
      </c>
      <c r="C1330" s="1229" t="s">
        <v>1173</v>
      </c>
      <c r="D1330" s="1223">
        <v>0</v>
      </c>
      <c r="E1330" s="1243" t="str">
        <f>IF(A1330&gt;0,D1330,"No")</f>
        <v>No</v>
      </c>
    </row>
    <row r="1331" spans="1:5" ht="12.75">
      <c r="A1331" s="1221">
        <v>550210</v>
      </c>
      <c r="B1331" s="1221" t="s">
        <v>972</v>
      </c>
      <c r="C1331" s="1222" t="s">
        <v>421</v>
      </c>
      <c r="D1331" s="1223">
        <v>0</v>
      </c>
      <c r="E1331" s="1244">
        <f>SUM(D1332:D1334)</f>
        <v>6821035.57</v>
      </c>
    </row>
    <row r="1332" spans="1:5" ht="12.75">
      <c r="A1332" s="1221"/>
      <c r="B1332" s="1221">
        <v>29</v>
      </c>
      <c r="C1332" s="1229" t="s">
        <v>1182</v>
      </c>
      <c r="D1332" s="1223">
        <v>0</v>
      </c>
      <c r="E1332" s="1243" t="str">
        <f>IF(A1332&gt;0,D1332,"No")</f>
        <v>No</v>
      </c>
    </row>
    <row r="1333" spans="1:5" ht="12.75">
      <c r="A1333" s="1221"/>
      <c r="B1333" s="1221">
        <v>30</v>
      </c>
      <c r="C1333" s="1229" t="s">
        <v>1071</v>
      </c>
      <c r="D1333" s="1223">
        <v>6294013.62</v>
      </c>
      <c r="E1333" s="1243" t="str">
        <f>IF(A1333&gt;0,D1333,"No")</f>
        <v>No</v>
      </c>
    </row>
    <row r="1334" spans="1:5" ht="12.75">
      <c r="A1334" s="1221"/>
      <c r="B1334" s="1221">
        <v>40</v>
      </c>
      <c r="C1334" s="1229" t="s">
        <v>1072</v>
      </c>
      <c r="D1334" s="1223">
        <v>527021.95</v>
      </c>
      <c r="E1334" s="1243" t="str">
        <f>IF(A1334&gt;0,D1334,"No")</f>
        <v>No</v>
      </c>
    </row>
    <row r="1335" spans="1:5" ht="12.75">
      <c r="A1335" s="1221">
        <v>550220</v>
      </c>
      <c r="B1335" s="1221" t="s">
        <v>972</v>
      </c>
      <c r="C1335" s="1222" t="s">
        <v>422</v>
      </c>
      <c r="D1335" s="1223">
        <v>0</v>
      </c>
      <c r="E1335" s="1244">
        <f>SUM(D1336)</f>
        <v>73871.79</v>
      </c>
    </row>
    <row r="1336" spans="1:5" ht="12.75">
      <c r="A1336" s="1221"/>
      <c r="B1336" s="1221">
        <v>29</v>
      </c>
      <c r="C1336" s="1229" t="s">
        <v>1182</v>
      </c>
      <c r="D1336" s="1223">
        <v>73871.79</v>
      </c>
      <c r="E1336" s="1243" t="str">
        <f>IF(A1336&gt;0,D1336,"No")</f>
        <v>No</v>
      </c>
    </row>
    <row r="1337" spans="1:5" ht="12.75">
      <c r="A1337" s="1221">
        <v>550230</v>
      </c>
      <c r="B1337" s="1221" t="s">
        <v>972</v>
      </c>
      <c r="C1337" s="1222" t="s">
        <v>423</v>
      </c>
      <c r="D1337" s="1223">
        <v>0</v>
      </c>
      <c r="E1337" s="1244">
        <f>SUM(D1338:D1340)</f>
        <v>200</v>
      </c>
    </row>
    <row r="1338" spans="1:5" ht="12.75">
      <c r="A1338" s="1221"/>
      <c r="B1338" s="1221">
        <v>29</v>
      </c>
      <c r="C1338" s="1229" t="s">
        <v>1182</v>
      </c>
      <c r="D1338" s="1223">
        <v>0</v>
      </c>
      <c r="E1338" s="1243" t="str">
        <f>IF(A1338&gt;0,D1338,"No")</f>
        <v>No</v>
      </c>
    </row>
    <row r="1339" spans="1:5" ht="12.75">
      <c r="A1339" s="1221"/>
      <c r="B1339" s="1221">
        <v>30</v>
      </c>
      <c r="C1339" s="1229" t="s">
        <v>1071</v>
      </c>
      <c r="D1339" s="1223">
        <v>200</v>
      </c>
      <c r="E1339" s="1243" t="str">
        <f>IF(A1339&gt;0,D1339,"No")</f>
        <v>No</v>
      </c>
    </row>
    <row r="1340" spans="1:5" ht="12.75">
      <c r="A1340" s="1221"/>
      <c r="B1340" s="1221">
        <v>40</v>
      </c>
      <c r="C1340" s="1229" t="s">
        <v>1072</v>
      </c>
      <c r="D1340" s="1223">
        <v>0</v>
      </c>
      <c r="E1340" s="1243" t="str">
        <f>IF(A1340&gt;0,D1340,"No")</f>
        <v>No</v>
      </c>
    </row>
    <row r="1341" spans="1:5" ht="12.75">
      <c r="A1341" s="1221">
        <v>550240</v>
      </c>
      <c r="B1341" s="1221" t="s">
        <v>972</v>
      </c>
      <c r="C1341" s="1222" t="s">
        <v>424</v>
      </c>
      <c r="D1341" s="1223">
        <v>0</v>
      </c>
      <c r="E1341" s="1244">
        <f>SUM(D1342:D1348)</f>
        <v>1679558.46</v>
      </c>
    </row>
    <row r="1342" spans="1:5" ht="12.75">
      <c r="A1342" s="1221"/>
      <c r="B1342" s="1221">
        <v>25</v>
      </c>
      <c r="C1342" s="1229" t="s">
        <v>1176</v>
      </c>
      <c r="D1342" s="1223">
        <v>68670</v>
      </c>
      <c r="E1342" s="1243" t="str">
        <f aca="true" t="shared" si="48" ref="E1342:E1348">IF(A1342&gt;0,D1342,"No")</f>
        <v>No</v>
      </c>
    </row>
    <row r="1343" spans="1:5" ht="12.75">
      <c r="A1343" s="1221"/>
      <c r="B1343" s="1221">
        <v>27</v>
      </c>
      <c r="C1343" s="1229" t="s">
        <v>1153</v>
      </c>
      <c r="D1343" s="1223">
        <v>35000</v>
      </c>
      <c r="E1343" s="1243" t="str">
        <f t="shared" si="48"/>
        <v>No</v>
      </c>
    </row>
    <row r="1344" spans="1:5" ht="12.75">
      <c r="A1344" s="1221"/>
      <c r="B1344" s="1221">
        <v>28</v>
      </c>
      <c r="C1344" s="1229" t="s">
        <v>1178</v>
      </c>
      <c r="D1344" s="1223">
        <v>0</v>
      </c>
      <c r="E1344" s="1243" t="str">
        <f t="shared" si="48"/>
        <v>No</v>
      </c>
    </row>
    <row r="1345" spans="1:5" ht="12.75">
      <c r="A1345" s="1221"/>
      <c r="B1345" s="1221">
        <v>29</v>
      </c>
      <c r="C1345" s="1229" t="s">
        <v>1182</v>
      </c>
      <c r="D1345" s="1223">
        <v>-5460</v>
      </c>
      <c r="E1345" s="1243" t="str">
        <f t="shared" si="48"/>
        <v>No</v>
      </c>
    </row>
    <row r="1346" spans="1:5" ht="12.75">
      <c r="A1346" s="1221"/>
      <c r="B1346" s="1221">
        <v>30</v>
      </c>
      <c r="C1346" s="1229" t="s">
        <v>1071</v>
      </c>
      <c r="D1346" s="1223">
        <v>820396.94</v>
      </c>
      <c r="E1346" s="1243" t="str">
        <f t="shared" si="48"/>
        <v>No</v>
      </c>
    </row>
    <row r="1347" spans="1:5" ht="12.75">
      <c r="A1347" s="1221"/>
      <c r="B1347" s="1221">
        <v>34</v>
      </c>
      <c r="C1347" s="1229" t="s">
        <v>1173</v>
      </c>
      <c r="D1347" s="1223">
        <v>0</v>
      </c>
      <c r="E1347" s="1243" t="str">
        <f t="shared" si="48"/>
        <v>No</v>
      </c>
    </row>
    <row r="1348" spans="1:5" ht="12.75">
      <c r="A1348" s="1221"/>
      <c r="B1348" s="1221">
        <v>40</v>
      </c>
      <c r="C1348" s="1229" t="s">
        <v>1072</v>
      </c>
      <c r="D1348" s="1223">
        <v>760951.52</v>
      </c>
      <c r="E1348" s="1243" t="str">
        <f t="shared" si="48"/>
        <v>No</v>
      </c>
    </row>
    <row r="1349" spans="1:5" ht="12.75">
      <c r="A1349" s="1221">
        <v>550250</v>
      </c>
      <c r="B1349" s="1221" t="s">
        <v>972</v>
      </c>
      <c r="C1349" s="1222" t="s">
        <v>425</v>
      </c>
      <c r="D1349" s="1223">
        <v>0</v>
      </c>
      <c r="E1349" s="1244">
        <f>SUM(D1350:D1351)</f>
        <v>248846.66999999998</v>
      </c>
    </row>
    <row r="1350" spans="1:5" ht="12.75">
      <c r="A1350" s="1221"/>
      <c r="B1350" s="1221">
        <v>30</v>
      </c>
      <c r="C1350" s="1229" t="s">
        <v>426</v>
      </c>
      <c r="D1350" s="1223">
        <v>133114.02</v>
      </c>
      <c r="E1350" s="1243" t="str">
        <f>IF(A1350&gt;0,D1350,"No")</f>
        <v>No</v>
      </c>
    </row>
    <row r="1351" spans="1:5" ht="12.75">
      <c r="A1351" s="1221"/>
      <c r="B1351" s="1221">
        <v>40</v>
      </c>
      <c r="C1351" s="1229" t="s">
        <v>427</v>
      </c>
      <c r="D1351" s="1223">
        <v>115732.65</v>
      </c>
      <c r="E1351" s="1243" t="str">
        <f>IF(A1351&gt;0,D1351,"No")</f>
        <v>No</v>
      </c>
    </row>
    <row r="1352" spans="1:5" ht="12.75">
      <c r="A1352" s="1221">
        <v>550251</v>
      </c>
      <c r="B1352" s="1221" t="s">
        <v>972</v>
      </c>
      <c r="C1352" s="1239" t="s">
        <v>428</v>
      </c>
      <c r="D1352" s="1223">
        <v>0</v>
      </c>
      <c r="E1352" s="1244">
        <f>SUM(D1353:D1354)</f>
        <v>2747886.16</v>
      </c>
    </row>
    <row r="1353" spans="1:5" ht="12.75">
      <c r="A1353" s="1221"/>
      <c r="B1353" s="1221">
        <v>30</v>
      </c>
      <c r="C1353" s="1229" t="s">
        <v>426</v>
      </c>
      <c r="D1353" s="1223">
        <v>2745474.72</v>
      </c>
      <c r="E1353" s="1243" t="str">
        <f>IF(A1353&gt;0,D1353,"No")</f>
        <v>No</v>
      </c>
    </row>
    <row r="1354" spans="1:5" ht="12.75">
      <c r="A1354" s="1221"/>
      <c r="B1354" s="1221">
        <v>40</v>
      </c>
      <c r="C1354" s="1229" t="s">
        <v>427</v>
      </c>
      <c r="D1354" s="1223">
        <v>2411.44</v>
      </c>
      <c r="E1354" s="1243" t="str">
        <f>IF(A1354&gt;0,D1354,"No")</f>
        <v>No</v>
      </c>
    </row>
    <row r="1355" spans="1:5" ht="12.75">
      <c r="A1355" s="1221">
        <v>550260</v>
      </c>
      <c r="B1355" s="1221" t="s">
        <v>972</v>
      </c>
      <c r="C1355" s="1222" t="s">
        <v>429</v>
      </c>
      <c r="D1355" s="1223">
        <v>0</v>
      </c>
      <c r="E1355" s="1244">
        <f>SUM(D1356:D1366)</f>
        <v>84967.54999999999</v>
      </c>
    </row>
    <row r="1356" spans="1:5" ht="12.75">
      <c r="A1356" s="1221"/>
      <c r="B1356" s="1221">
        <v>25</v>
      </c>
      <c r="C1356" s="1229" t="s">
        <v>1176</v>
      </c>
      <c r="D1356" s="1223">
        <v>25071.83</v>
      </c>
      <c r="E1356" s="1243" t="str">
        <f aca="true" t="shared" si="49" ref="E1356:E1366">IF(A1356&gt;0,D1356,"No")</f>
        <v>No</v>
      </c>
    </row>
    <row r="1357" spans="1:5" ht="12.75">
      <c r="A1357" s="1221"/>
      <c r="B1357" s="1221">
        <v>26</v>
      </c>
      <c r="C1357" s="1229" t="s">
        <v>407</v>
      </c>
      <c r="D1357" s="1223">
        <v>6576.84</v>
      </c>
      <c r="E1357" s="1243" t="str">
        <f t="shared" si="49"/>
        <v>No</v>
      </c>
    </row>
    <row r="1358" spans="1:5" ht="12.75">
      <c r="A1358" s="1221"/>
      <c r="B1358" s="1221">
        <v>27</v>
      </c>
      <c r="C1358" s="1229" t="s">
        <v>1153</v>
      </c>
      <c r="D1358" s="1223">
        <v>33223.06</v>
      </c>
      <c r="E1358" s="1243" t="str">
        <f t="shared" si="49"/>
        <v>No</v>
      </c>
    </row>
    <row r="1359" spans="1:5" ht="12.75">
      <c r="A1359" s="1221"/>
      <c r="B1359" s="1221">
        <v>28</v>
      </c>
      <c r="C1359" s="1229" t="s">
        <v>1178</v>
      </c>
      <c r="D1359" s="1223">
        <v>1590</v>
      </c>
      <c r="E1359" s="1243" t="str">
        <f t="shared" si="49"/>
        <v>No</v>
      </c>
    </row>
    <row r="1360" spans="1:5" ht="12.75">
      <c r="A1360" s="1221"/>
      <c r="B1360" s="1221">
        <v>29</v>
      </c>
      <c r="C1360" s="1229" t="s">
        <v>1182</v>
      </c>
      <c r="D1360" s="1223">
        <v>9305.82</v>
      </c>
      <c r="E1360" s="1243" t="str">
        <f t="shared" si="49"/>
        <v>No</v>
      </c>
    </row>
    <row r="1361" spans="1:5" ht="12.75">
      <c r="A1361" s="1221"/>
      <c r="B1361" s="1221">
        <v>31</v>
      </c>
      <c r="C1361" s="1229" t="s">
        <v>1179</v>
      </c>
      <c r="D1361" s="1223">
        <v>3500</v>
      </c>
      <c r="E1361" s="1243" t="str">
        <f t="shared" si="49"/>
        <v>No</v>
      </c>
    </row>
    <row r="1362" spans="1:5" ht="12.75">
      <c r="A1362" s="1221"/>
      <c r="B1362" s="1221">
        <v>33</v>
      </c>
      <c r="C1362" s="1229" t="s">
        <v>1183</v>
      </c>
      <c r="D1362" s="1223">
        <v>0</v>
      </c>
      <c r="E1362" s="1243" t="str">
        <f t="shared" si="49"/>
        <v>No</v>
      </c>
    </row>
    <row r="1363" spans="1:5" ht="12.75">
      <c r="A1363" s="1221"/>
      <c r="B1363" s="1221">
        <v>34</v>
      </c>
      <c r="C1363" s="1229" t="s">
        <v>1173</v>
      </c>
      <c r="D1363" s="1223">
        <v>0</v>
      </c>
      <c r="E1363" s="1243" t="str">
        <f t="shared" si="49"/>
        <v>No</v>
      </c>
    </row>
    <row r="1364" spans="1:5" ht="12.75">
      <c r="A1364" s="1221"/>
      <c r="B1364" s="1221">
        <v>35</v>
      </c>
      <c r="C1364" s="1229" t="s">
        <v>408</v>
      </c>
      <c r="D1364" s="1223">
        <v>1400</v>
      </c>
      <c r="E1364" s="1243" t="str">
        <f t="shared" si="49"/>
        <v>No</v>
      </c>
    </row>
    <row r="1365" spans="1:5" ht="12.75">
      <c r="A1365" s="1221"/>
      <c r="B1365" s="1221">
        <v>36</v>
      </c>
      <c r="C1365" s="1229" t="s">
        <v>409</v>
      </c>
      <c r="D1365" s="1223">
        <v>0</v>
      </c>
      <c r="E1365" s="1243" t="str">
        <f t="shared" si="49"/>
        <v>No</v>
      </c>
    </row>
    <row r="1366" spans="1:5" ht="12.75">
      <c r="A1366" s="1221"/>
      <c r="B1366" s="1221">
        <v>37</v>
      </c>
      <c r="C1366" s="1229" t="s">
        <v>414</v>
      </c>
      <c r="D1366" s="1223">
        <v>4300</v>
      </c>
      <c r="E1366" s="1243" t="str">
        <f t="shared" si="49"/>
        <v>No</v>
      </c>
    </row>
    <row r="1367" spans="1:5" ht="12.75">
      <c r="A1367" s="1221">
        <v>550270</v>
      </c>
      <c r="B1367" s="1221" t="s">
        <v>972</v>
      </c>
      <c r="C1367" s="1222" t="s">
        <v>430</v>
      </c>
      <c r="D1367" s="1223">
        <v>0</v>
      </c>
      <c r="E1367" s="1244">
        <f>SUM(D1368:D1376)</f>
        <v>117930.44</v>
      </c>
    </row>
    <row r="1368" spans="1:5" ht="12.75">
      <c r="A1368" s="1221"/>
      <c r="B1368" s="1221">
        <v>25</v>
      </c>
      <c r="C1368" s="1229" t="s">
        <v>1176</v>
      </c>
      <c r="D1368" s="1223">
        <v>45</v>
      </c>
      <c r="E1368" s="1243" t="str">
        <f aca="true" t="shared" si="50" ref="E1368:E1376">IF(A1368&gt;0,D1368,"No")</f>
        <v>No</v>
      </c>
    </row>
    <row r="1369" spans="1:5" ht="12.75">
      <c r="A1369" s="1221"/>
      <c r="B1369" s="1221">
        <v>26</v>
      </c>
      <c r="C1369" s="1229" t="s">
        <v>407</v>
      </c>
      <c r="D1369" s="1223">
        <v>0</v>
      </c>
      <c r="E1369" s="1243" t="str">
        <f t="shared" si="50"/>
        <v>No</v>
      </c>
    </row>
    <row r="1370" spans="1:5" ht="12.75">
      <c r="A1370" s="1221"/>
      <c r="B1370" s="1221">
        <v>27</v>
      </c>
      <c r="C1370" s="1229" t="s">
        <v>1153</v>
      </c>
      <c r="D1370" s="1223">
        <v>8898.96</v>
      </c>
      <c r="E1370" s="1243" t="str">
        <f t="shared" si="50"/>
        <v>No</v>
      </c>
    </row>
    <row r="1371" spans="1:5" ht="12.75">
      <c r="A1371" s="1221"/>
      <c r="B1371" s="1221">
        <v>28</v>
      </c>
      <c r="C1371" s="1229" t="s">
        <v>1178</v>
      </c>
      <c r="D1371" s="1223">
        <v>6044.12</v>
      </c>
      <c r="E1371" s="1243" t="str">
        <f t="shared" si="50"/>
        <v>No</v>
      </c>
    </row>
    <row r="1372" spans="1:5" ht="12.75">
      <c r="A1372" s="1221"/>
      <c r="B1372" s="1221">
        <v>29</v>
      </c>
      <c r="C1372" s="1229" t="s">
        <v>1182</v>
      </c>
      <c r="D1372" s="1223">
        <v>10000</v>
      </c>
      <c r="E1372" s="1243" t="str">
        <f t="shared" si="50"/>
        <v>No</v>
      </c>
    </row>
    <row r="1373" spans="1:5" ht="12.75">
      <c r="A1373" s="1221"/>
      <c r="B1373" s="1221">
        <v>30</v>
      </c>
      <c r="C1373" s="1229" t="s">
        <v>1071</v>
      </c>
      <c r="D1373" s="1223">
        <v>92942.36</v>
      </c>
      <c r="E1373" s="1243" t="str">
        <f t="shared" si="50"/>
        <v>No</v>
      </c>
    </row>
    <row r="1374" spans="1:5" ht="12.75">
      <c r="A1374" s="1221"/>
      <c r="B1374" s="1221">
        <v>31</v>
      </c>
      <c r="C1374" s="1229" t="s">
        <v>1179</v>
      </c>
      <c r="D1374" s="1223">
        <v>0</v>
      </c>
      <c r="E1374" s="1243" t="str">
        <f t="shared" si="50"/>
        <v>No</v>
      </c>
    </row>
    <row r="1375" spans="1:5" ht="12.75">
      <c r="A1375" s="1221"/>
      <c r="B1375" s="1221">
        <v>34</v>
      </c>
      <c r="C1375" s="1229" t="s">
        <v>1173</v>
      </c>
      <c r="D1375" s="1223">
        <v>0</v>
      </c>
      <c r="E1375" s="1243" t="str">
        <f t="shared" si="50"/>
        <v>No</v>
      </c>
    </row>
    <row r="1376" spans="1:5" ht="12.75">
      <c r="A1376" s="1221"/>
      <c r="B1376" s="1221">
        <v>40</v>
      </c>
      <c r="C1376" s="1229" t="s">
        <v>1072</v>
      </c>
      <c r="D1376" s="1223">
        <v>0</v>
      </c>
      <c r="E1376" s="1243" t="str">
        <f t="shared" si="50"/>
        <v>No</v>
      </c>
    </row>
    <row r="1377" spans="1:5" ht="12.75">
      <c r="A1377" s="1221">
        <v>550280</v>
      </c>
      <c r="B1377" s="1221" t="s">
        <v>972</v>
      </c>
      <c r="C1377" s="1222" t="s">
        <v>431</v>
      </c>
      <c r="D1377" s="1223">
        <v>0</v>
      </c>
      <c r="E1377" s="1244">
        <f>SUM(D1378:D1379)</f>
        <v>0</v>
      </c>
    </row>
    <row r="1378" spans="1:5" ht="12.75">
      <c r="A1378" s="1221"/>
      <c r="B1378" s="1221">
        <v>27</v>
      </c>
      <c r="C1378" s="1229" t="s">
        <v>1153</v>
      </c>
      <c r="D1378" s="1223">
        <v>0</v>
      </c>
      <c r="E1378" s="1243" t="str">
        <f>IF(A1378&gt;0,D1378,"No")</f>
        <v>No</v>
      </c>
    </row>
    <row r="1379" spans="1:5" ht="12.75">
      <c r="A1379" s="1221"/>
      <c r="B1379" s="1221">
        <v>30</v>
      </c>
      <c r="C1379" s="1229" t="s">
        <v>1071</v>
      </c>
      <c r="D1379" s="1223">
        <v>0</v>
      </c>
      <c r="E1379" s="1243" t="str">
        <f>IF(A1379&gt;0,D1379,"No")</f>
        <v>No</v>
      </c>
    </row>
    <row r="1380" spans="1:5" ht="12.75">
      <c r="A1380" s="1221">
        <v>550290</v>
      </c>
      <c r="B1380" s="1221" t="s">
        <v>972</v>
      </c>
      <c r="C1380" s="1222" t="s">
        <v>432</v>
      </c>
      <c r="D1380" s="1223">
        <v>0</v>
      </c>
      <c r="E1380" s="1244">
        <f>SUM(D1381:D1383)</f>
        <v>587047.7699999999</v>
      </c>
    </row>
    <row r="1381" spans="1:5" ht="12.75">
      <c r="A1381" s="1221"/>
      <c r="B1381" s="1221">
        <v>29</v>
      </c>
      <c r="C1381" s="1229" t="s">
        <v>1182</v>
      </c>
      <c r="D1381" s="1223">
        <v>0</v>
      </c>
      <c r="E1381" s="1243" t="str">
        <f>IF(A1381&gt;0,D1381,"No")</f>
        <v>No</v>
      </c>
    </row>
    <row r="1382" spans="1:5" ht="12.75">
      <c r="A1382" s="1221"/>
      <c r="B1382" s="1221">
        <v>30</v>
      </c>
      <c r="C1382" s="1229" t="s">
        <v>1071</v>
      </c>
      <c r="D1382" s="1223">
        <v>525478.7</v>
      </c>
      <c r="E1382" s="1243" t="str">
        <f>IF(A1382&gt;0,D1382,"No")</f>
        <v>No</v>
      </c>
    </row>
    <row r="1383" spans="1:5" ht="12.75">
      <c r="A1383" s="1221"/>
      <c r="B1383" s="1221">
        <v>40</v>
      </c>
      <c r="C1383" s="1229" t="s">
        <v>1072</v>
      </c>
      <c r="D1383" s="1223">
        <v>61569.07</v>
      </c>
      <c r="E1383" s="1243" t="str">
        <f>IF(A1383&gt;0,D1383,"No")</f>
        <v>No</v>
      </c>
    </row>
    <row r="1384" spans="1:5" ht="12.75">
      <c r="A1384" s="1221">
        <v>550300</v>
      </c>
      <c r="B1384" s="1221" t="s">
        <v>972</v>
      </c>
      <c r="C1384" s="1222" t="s">
        <v>433</v>
      </c>
      <c r="D1384" s="1223">
        <v>0</v>
      </c>
      <c r="E1384" s="1244">
        <f>SUM(D1385:D1396)</f>
        <v>856737</v>
      </c>
    </row>
    <row r="1385" spans="1:5" ht="12.75">
      <c r="A1385" s="1221"/>
      <c r="B1385" s="1221">
        <v>2</v>
      </c>
      <c r="C1385" s="1229" t="s">
        <v>213</v>
      </c>
      <c r="D1385" s="1223">
        <v>18000</v>
      </c>
      <c r="E1385" s="1243" t="str">
        <f aca="true" t="shared" si="51" ref="E1385:E1396">IF(A1385&gt;0,D1385,"No")</f>
        <v>No</v>
      </c>
    </row>
    <row r="1386" spans="1:5" ht="12.75">
      <c r="A1386" s="1221"/>
      <c r="B1386" s="1221">
        <v>14</v>
      </c>
      <c r="C1386" s="1229" t="s">
        <v>205</v>
      </c>
      <c r="D1386" s="1223">
        <v>24000</v>
      </c>
      <c r="E1386" s="1243" t="str">
        <f t="shared" si="51"/>
        <v>No</v>
      </c>
    </row>
    <row r="1387" spans="1:5" ht="12.75">
      <c r="A1387" s="1221"/>
      <c r="B1387" s="1221">
        <v>18</v>
      </c>
      <c r="C1387" s="1229" t="s">
        <v>1172</v>
      </c>
      <c r="D1387" s="1223">
        <v>10485</v>
      </c>
      <c r="E1387" s="1243" t="str">
        <f t="shared" si="51"/>
        <v>No</v>
      </c>
    </row>
    <row r="1388" spans="1:5" ht="12.75">
      <c r="A1388" s="1221"/>
      <c r="B1388" s="1221">
        <v>21</v>
      </c>
      <c r="C1388" s="1229" t="s">
        <v>217</v>
      </c>
      <c r="D1388" s="1223">
        <v>0</v>
      </c>
      <c r="E1388" s="1243" t="str">
        <f t="shared" si="51"/>
        <v>No</v>
      </c>
    </row>
    <row r="1389" spans="1:5" ht="12.75">
      <c r="A1389" s="1221"/>
      <c r="B1389" s="1221">
        <v>25</v>
      </c>
      <c r="C1389" s="1229" t="s">
        <v>1176</v>
      </c>
      <c r="D1389" s="1223">
        <v>24620.5</v>
      </c>
      <c r="E1389" s="1243" t="str">
        <f t="shared" si="51"/>
        <v>No</v>
      </c>
    </row>
    <row r="1390" spans="1:5" ht="12.75">
      <c r="A1390" s="1221"/>
      <c r="B1390" s="1221">
        <v>26</v>
      </c>
      <c r="C1390" s="1229" t="s">
        <v>407</v>
      </c>
      <c r="D1390" s="1223">
        <v>33200</v>
      </c>
      <c r="E1390" s="1243" t="str">
        <f t="shared" si="51"/>
        <v>No</v>
      </c>
    </row>
    <row r="1391" spans="1:5" ht="12.75">
      <c r="A1391" s="1221"/>
      <c r="B1391" s="1221">
        <v>27</v>
      </c>
      <c r="C1391" s="1229" t="s">
        <v>1153</v>
      </c>
      <c r="D1391" s="1223">
        <v>547512.1</v>
      </c>
      <c r="E1391" s="1243" t="str">
        <f t="shared" si="51"/>
        <v>No</v>
      </c>
    </row>
    <row r="1392" spans="1:5" ht="12.75">
      <c r="A1392" s="1221"/>
      <c r="B1392" s="1221">
        <v>28</v>
      </c>
      <c r="C1392" s="1229" t="s">
        <v>1178</v>
      </c>
      <c r="D1392" s="1223">
        <v>198919.4</v>
      </c>
      <c r="E1392" s="1243" t="str">
        <f t="shared" si="51"/>
        <v>No</v>
      </c>
    </row>
    <row r="1393" spans="1:5" ht="12.75">
      <c r="A1393" s="1221"/>
      <c r="B1393" s="1221">
        <v>29</v>
      </c>
      <c r="C1393" s="1229" t="s">
        <v>1182</v>
      </c>
      <c r="D1393" s="1223">
        <v>0</v>
      </c>
      <c r="E1393" s="1243" t="str">
        <f t="shared" si="51"/>
        <v>No</v>
      </c>
    </row>
    <row r="1394" spans="1:5" ht="12.75">
      <c r="A1394" s="1221"/>
      <c r="B1394" s="1221">
        <v>31</v>
      </c>
      <c r="C1394" s="1229" t="s">
        <v>1179</v>
      </c>
      <c r="D1394" s="1223">
        <v>0</v>
      </c>
      <c r="E1394" s="1243" t="str">
        <f t="shared" si="51"/>
        <v>No</v>
      </c>
    </row>
    <row r="1395" spans="1:5" ht="12.75">
      <c r="A1395" s="1221"/>
      <c r="B1395" s="1221">
        <v>33</v>
      </c>
      <c r="C1395" s="1229" t="s">
        <v>1183</v>
      </c>
      <c r="D1395" s="1223">
        <v>0</v>
      </c>
      <c r="E1395" s="1243" t="str">
        <f t="shared" si="51"/>
        <v>No</v>
      </c>
    </row>
    <row r="1396" spans="1:5" ht="12.75">
      <c r="A1396" s="1221"/>
      <c r="B1396" s="1221">
        <v>34</v>
      </c>
      <c r="C1396" s="1229" t="s">
        <v>1173</v>
      </c>
      <c r="D1396" s="1223">
        <v>0</v>
      </c>
      <c r="E1396" s="1243" t="str">
        <f t="shared" si="51"/>
        <v>No</v>
      </c>
    </row>
    <row r="1397" spans="1:5" ht="12.75">
      <c r="A1397" s="1221">
        <v>550310</v>
      </c>
      <c r="B1397" s="1221" t="s">
        <v>972</v>
      </c>
      <c r="C1397" s="1222" t="s">
        <v>434</v>
      </c>
      <c r="D1397" s="1223">
        <v>0</v>
      </c>
      <c r="E1397" s="1244">
        <f>SUM(D1398:D1404)</f>
        <v>88044.94</v>
      </c>
    </row>
    <row r="1398" spans="1:5" ht="12.75">
      <c r="A1398" s="1221"/>
      <c r="B1398" s="1221">
        <v>18</v>
      </c>
      <c r="C1398" s="1229" t="s">
        <v>1172</v>
      </c>
      <c r="D1398" s="1223">
        <v>7168</v>
      </c>
      <c r="E1398" s="1243" t="str">
        <f aca="true" t="shared" si="52" ref="E1398:E1404">IF(A1398&gt;0,D1398,"No")</f>
        <v>No</v>
      </c>
    </row>
    <row r="1399" spans="1:5" ht="12.75">
      <c r="A1399" s="1221"/>
      <c r="B1399" s="1221">
        <v>21</v>
      </c>
      <c r="C1399" s="1229" t="s">
        <v>217</v>
      </c>
      <c r="D1399" s="1223">
        <v>0</v>
      </c>
      <c r="E1399" s="1243" t="str">
        <f t="shared" si="52"/>
        <v>No</v>
      </c>
    </row>
    <row r="1400" spans="1:5" ht="12.75">
      <c r="A1400" s="1221"/>
      <c r="B1400" s="1221">
        <v>25</v>
      </c>
      <c r="C1400" s="1229" t="s">
        <v>1176</v>
      </c>
      <c r="D1400" s="1223">
        <v>4636.3</v>
      </c>
      <c r="E1400" s="1243" t="str">
        <f t="shared" si="52"/>
        <v>No</v>
      </c>
    </row>
    <row r="1401" spans="1:5" ht="12.75">
      <c r="A1401" s="1221"/>
      <c r="B1401" s="1221">
        <v>26</v>
      </c>
      <c r="C1401" s="1229" t="s">
        <v>407</v>
      </c>
      <c r="D1401" s="1223">
        <v>0</v>
      </c>
      <c r="E1401" s="1243" t="str">
        <f t="shared" si="52"/>
        <v>No</v>
      </c>
    </row>
    <row r="1402" spans="1:5" ht="12.75">
      <c r="A1402" s="1221"/>
      <c r="B1402" s="1221">
        <v>27</v>
      </c>
      <c r="C1402" s="1229" t="s">
        <v>1153</v>
      </c>
      <c r="D1402" s="1223">
        <v>49786.74</v>
      </c>
      <c r="E1402" s="1243" t="str">
        <f t="shared" si="52"/>
        <v>No</v>
      </c>
    </row>
    <row r="1403" spans="1:5" ht="12.75">
      <c r="A1403" s="1221"/>
      <c r="B1403" s="1221">
        <v>28</v>
      </c>
      <c r="C1403" s="1229" t="s">
        <v>1178</v>
      </c>
      <c r="D1403" s="1223">
        <v>26453.9</v>
      </c>
      <c r="E1403" s="1243" t="str">
        <f t="shared" si="52"/>
        <v>No</v>
      </c>
    </row>
    <row r="1404" spans="1:5" ht="12.75">
      <c r="A1404" s="1221"/>
      <c r="B1404" s="1221">
        <v>34</v>
      </c>
      <c r="C1404" s="1229" t="s">
        <v>1173</v>
      </c>
      <c r="D1404" s="1223">
        <v>0</v>
      </c>
      <c r="E1404" s="1243" t="str">
        <f t="shared" si="52"/>
        <v>No</v>
      </c>
    </row>
    <row r="1405" spans="1:5" ht="12.75">
      <c r="A1405" s="1221">
        <v>550320</v>
      </c>
      <c r="B1405" s="1221" t="s">
        <v>972</v>
      </c>
      <c r="C1405" s="1222" t="s">
        <v>435</v>
      </c>
      <c r="D1405" s="1223">
        <v>0</v>
      </c>
      <c r="E1405" s="1244">
        <f>SUM(D1406)</f>
        <v>0</v>
      </c>
    </row>
    <row r="1406" spans="1:5" ht="12.75">
      <c r="A1406" s="1221"/>
      <c r="B1406" s="1221">
        <v>27</v>
      </c>
      <c r="C1406" s="1229" t="s">
        <v>1153</v>
      </c>
      <c r="D1406" s="1223">
        <v>0</v>
      </c>
      <c r="E1406" s="1243" t="str">
        <f>IF(A1406&gt;0,D1406,"No")</f>
        <v>No</v>
      </c>
    </row>
    <row r="1407" spans="1:5" ht="12.75">
      <c r="A1407" s="1221">
        <v>550330</v>
      </c>
      <c r="B1407" s="1221" t="s">
        <v>972</v>
      </c>
      <c r="C1407" s="1222" t="s">
        <v>1104</v>
      </c>
      <c r="D1407" s="1223">
        <v>0</v>
      </c>
      <c r="E1407" s="1244">
        <f>SUM(D1408:D1411)</f>
        <v>564337.7</v>
      </c>
    </row>
    <row r="1408" spans="1:5" ht="12.75">
      <c r="A1408" s="1221"/>
      <c r="B1408" s="1221">
        <v>26</v>
      </c>
      <c r="C1408" s="1229" t="s">
        <v>407</v>
      </c>
      <c r="D1408" s="1223">
        <v>361887.7</v>
      </c>
      <c r="E1408" s="1243" t="str">
        <f>IF(A1408&gt;0,D1408,"No")</f>
        <v>No</v>
      </c>
    </row>
    <row r="1409" spans="1:5" ht="12.75">
      <c r="A1409" s="1221"/>
      <c r="B1409" s="1221">
        <v>27</v>
      </c>
      <c r="C1409" s="1229" t="s">
        <v>1153</v>
      </c>
      <c r="D1409" s="1223">
        <v>152200</v>
      </c>
      <c r="E1409" s="1243" t="str">
        <f>IF(A1409&gt;0,D1409,"No")</f>
        <v>No</v>
      </c>
    </row>
    <row r="1410" spans="1:5" ht="12.75">
      <c r="A1410" s="1221"/>
      <c r="B1410" s="1221">
        <v>28</v>
      </c>
      <c r="C1410" s="1229" t="s">
        <v>1178</v>
      </c>
      <c r="D1410" s="1223">
        <v>0</v>
      </c>
      <c r="E1410" s="1243" t="str">
        <f>IF(A1410&gt;0,D1410,"No")</f>
        <v>No</v>
      </c>
    </row>
    <row r="1411" spans="1:5" ht="12.75">
      <c r="A1411" s="1221"/>
      <c r="B1411" s="1221">
        <v>33</v>
      </c>
      <c r="C1411" s="1229" t="s">
        <v>1183</v>
      </c>
      <c r="D1411" s="1223">
        <v>50250</v>
      </c>
      <c r="E1411" s="1243" t="str">
        <f>IF(A1411&gt;0,D1411,"No")</f>
        <v>No</v>
      </c>
    </row>
    <row r="1412" spans="1:5" ht="12.75">
      <c r="A1412" s="1221">
        <v>550331</v>
      </c>
      <c r="B1412" s="1221" t="s">
        <v>972</v>
      </c>
      <c r="C1412" s="1239" t="s">
        <v>436</v>
      </c>
      <c r="D1412" s="1223">
        <v>0</v>
      </c>
      <c r="E1412" s="1244">
        <f>SUM(D1413)</f>
        <v>0</v>
      </c>
    </row>
    <row r="1413" spans="1:5" ht="12.75">
      <c r="A1413" s="1221"/>
      <c r="B1413" s="1221">
        <v>27</v>
      </c>
      <c r="C1413" s="1229" t="s">
        <v>1153</v>
      </c>
      <c r="D1413" s="1223">
        <v>0</v>
      </c>
      <c r="E1413" s="1243" t="str">
        <f>IF(A1413&gt;0,D1413,"No")</f>
        <v>No</v>
      </c>
    </row>
    <row r="1414" spans="1:5" ht="12.75">
      <c r="A1414" s="1221">
        <v>550340</v>
      </c>
      <c r="B1414" s="1221" t="s">
        <v>972</v>
      </c>
      <c r="C1414" s="1222" t="s">
        <v>437</v>
      </c>
      <c r="D1414" s="1223">
        <v>0</v>
      </c>
      <c r="E1414" s="1244">
        <f>SUM(D1415:D1416)</f>
        <v>657561.58</v>
      </c>
    </row>
    <row r="1415" spans="1:5" ht="12.75">
      <c r="A1415" s="1221"/>
      <c r="B1415" s="1221">
        <v>27</v>
      </c>
      <c r="C1415" s="1229" t="s">
        <v>1153</v>
      </c>
      <c r="D1415" s="1223">
        <v>657561.58</v>
      </c>
      <c r="E1415" s="1243" t="str">
        <f>IF(A1415&gt;0,D1415,"No")</f>
        <v>No</v>
      </c>
    </row>
    <row r="1416" spans="1:5" ht="12.75">
      <c r="A1416" s="1221"/>
      <c r="B1416" s="1221">
        <v>34</v>
      </c>
      <c r="C1416" s="1229" t="s">
        <v>1173</v>
      </c>
      <c r="D1416" s="1223">
        <v>0</v>
      </c>
      <c r="E1416" s="1243" t="str">
        <f>IF(A1416&gt;0,D1416,"No")</f>
        <v>No</v>
      </c>
    </row>
    <row r="1417" spans="1:5" ht="12.75">
      <c r="A1417" s="1221">
        <v>550341</v>
      </c>
      <c r="B1417" s="1221" t="s">
        <v>972</v>
      </c>
      <c r="C1417" s="1222" t="s">
        <v>438</v>
      </c>
      <c r="D1417" s="1223">
        <v>0</v>
      </c>
      <c r="E1417" s="1244">
        <f>SUM(D1418:D1427)</f>
        <v>521743.69</v>
      </c>
    </row>
    <row r="1418" spans="1:5" ht="12.75">
      <c r="A1418" s="1221"/>
      <c r="B1418" s="1221">
        <v>25</v>
      </c>
      <c r="C1418" s="1229" t="s">
        <v>1176</v>
      </c>
      <c r="D1418" s="1223">
        <v>1121.52</v>
      </c>
      <c r="E1418" s="1243" t="str">
        <f aca="true" t="shared" si="53" ref="E1418:E1427">IF(A1418&gt;0,D1418,"No")</f>
        <v>No</v>
      </c>
    </row>
    <row r="1419" spans="1:5" ht="12.75">
      <c r="A1419" s="1221"/>
      <c r="B1419" s="1221">
        <v>26</v>
      </c>
      <c r="C1419" s="1229" t="s">
        <v>407</v>
      </c>
      <c r="D1419" s="1223">
        <v>4763.74</v>
      </c>
      <c r="E1419" s="1243" t="str">
        <f t="shared" si="53"/>
        <v>No</v>
      </c>
    </row>
    <row r="1420" spans="1:5" ht="12.75">
      <c r="A1420" s="1221"/>
      <c r="B1420" s="1221">
        <v>27</v>
      </c>
      <c r="C1420" s="1229" t="s">
        <v>1153</v>
      </c>
      <c r="D1420" s="1223">
        <v>500156.1</v>
      </c>
      <c r="E1420" s="1243" t="str">
        <f t="shared" si="53"/>
        <v>No</v>
      </c>
    </row>
    <row r="1421" spans="1:5" ht="12.75">
      <c r="A1421" s="1221"/>
      <c r="B1421" s="1221">
        <v>28</v>
      </c>
      <c r="C1421" s="1229" t="s">
        <v>1178</v>
      </c>
      <c r="D1421" s="1223">
        <v>6952.47</v>
      </c>
      <c r="E1421" s="1243" t="str">
        <f t="shared" si="53"/>
        <v>No</v>
      </c>
    </row>
    <row r="1422" spans="1:5" ht="12.75">
      <c r="A1422" s="1221"/>
      <c r="B1422" s="1221">
        <v>29</v>
      </c>
      <c r="C1422" s="1229" t="s">
        <v>1182</v>
      </c>
      <c r="D1422" s="1223">
        <v>4410.63</v>
      </c>
      <c r="E1422" s="1243" t="str">
        <f t="shared" si="53"/>
        <v>No</v>
      </c>
    </row>
    <row r="1423" spans="1:5" ht="12.75">
      <c r="A1423" s="1221"/>
      <c r="B1423" s="1221">
        <v>31</v>
      </c>
      <c r="C1423" s="1229" t="s">
        <v>1179</v>
      </c>
      <c r="D1423" s="1223">
        <v>1552.34</v>
      </c>
      <c r="E1423" s="1243" t="str">
        <f t="shared" si="53"/>
        <v>No</v>
      </c>
    </row>
    <row r="1424" spans="1:5" ht="12.75">
      <c r="A1424" s="1221"/>
      <c r="B1424" s="1221">
        <v>33</v>
      </c>
      <c r="C1424" s="1229" t="s">
        <v>1183</v>
      </c>
      <c r="D1424" s="1223">
        <v>0</v>
      </c>
      <c r="E1424" s="1243" t="str">
        <f t="shared" si="53"/>
        <v>No</v>
      </c>
    </row>
    <row r="1425" spans="1:5" ht="12.75">
      <c r="A1425" s="1221"/>
      <c r="B1425" s="1221">
        <v>34</v>
      </c>
      <c r="C1425" s="1229" t="s">
        <v>1173</v>
      </c>
      <c r="D1425" s="1223">
        <v>0</v>
      </c>
      <c r="E1425" s="1243" t="str">
        <f t="shared" si="53"/>
        <v>No</v>
      </c>
    </row>
    <row r="1426" spans="1:5" ht="12.75">
      <c r="A1426" s="1221"/>
      <c r="B1426" s="1221">
        <v>35</v>
      </c>
      <c r="C1426" s="1229" t="s">
        <v>408</v>
      </c>
      <c r="D1426" s="1223">
        <v>1857.61</v>
      </c>
      <c r="E1426" s="1243" t="str">
        <f t="shared" si="53"/>
        <v>No</v>
      </c>
    </row>
    <row r="1427" spans="1:5" ht="12.75">
      <c r="A1427" s="1221"/>
      <c r="B1427" s="1221">
        <v>36</v>
      </c>
      <c r="C1427" s="1229" t="s">
        <v>409</v>
      </c>
      <c r="D1427" s="1223">
        <v>929.28</v>
      </c>
      <c r="E1427" s="1243" t="str">
        <f t="shared" si="53"/>
        <v>No</v>
      </c>
    </row>
    <row r="1428" spans="1:5" ht="12.75">
      <c r="A1428" s="1221">
        <v>550350</v>
      </c>
      <c r="B1428" s="1221" t="s">
        <v>972</v>
      </c>
      <c r="C1428" s="1222" t="s">
        <v>439</v>
      </c>
      <c r="D1428" s="1223">
        <v>0</v>
      </c>
      <c r="E1428" s="1244">
        <f>SUM(D1429:D1430)</f>
        <v>507276.92</v>
      </c>
    </row>
    <row r="1429" spans="1:5" ht="12.75">
      <c r="A1429" s="1221"/>
      <c r="B1429" s="1221">
        <v>27</v>
      </c>
      <c r="C1429" s="1229" t="s">
        <v>1153</v>
      </c>
      <c r="D1429" s="1223">
        <v>507276.92</v>
      </c>
      <c r="E1429" s="1243" t="str">
        <f>IF(A1429&gt;0,D1429,"No")</f>
        <v>No</v>
      </c>
    </row>
    <row r="1430" spans="1:5" ht="12.75">
      <c r="A1430" s="1221"/>
      <c r="B1430" s="1221">
        <v>34</v>
      </c>
      <c r="C1430" s="1229" t="s">
        <v>1173</v>
      </c>
      <c r="D1430" s="1223">
        <v>0</v>
      </c>
      <c r="E1430" s="1243" t="str">
        <f>IF(A1430&gt;0,D1430,"No")</f>
        <v>No</v>
      </c>
    </row>
    <row r="1431" spans="1:5" ht="12.75">
      <c r="A1431" s="1221">
        <v>550360</v>
      </c>
      <c r="B1431" s="1221" t="s">
        <v>972</v>
      </c>
      <c r="C1431" s="1222" t="s">
        <v>440</v>
      </c>
      <c r="D1431" s="1223">
        <v>0</v>
      </c>
      <c r="E1431" s="1244">
        <f>SUM(D1432)</f>
        <v>22690</v>
      </c>
    </row>
    <row r="1432" spans="1:5" ht="12.75">
      <c r="A1432" s="1221"/>
      <c r="B1432" s="1221">
        <v>27</v>
      </c>
      <c r="C1432" s="1229" t="s">
        <v>1153</v>
      </c>
      <c r="D1432" s="1223">
        <v>22690</v>
      </c>
      <c r="E1432" s="1243" t="str">
        <f>IF(A1432&gt;0,D1432,"No")</f>
        <v>No</v>
      </c>
    </row>
    <row r="1433" spans="1:5" ht="12.75">
      <c r="A1433" s="1221">
        <v>550370</v>
      </c>
      <c r="B1433" s="1221" t="s">
        <v>972</v>
      </c>
      <c r="C1433" s="1222" t="s">
        <v>234</v>
      </c>
      <c r="D1433" s="1223">
        <v>0</v>
      </c>
      <c r="E1433" s="1243">
        <f>IF(A1433&gt;0,D1433,"No")</f>
        <v>0</v>
      </c>
    </row>
    <row r="1434" spans="1:5" ht="12.75">
      <c r="A1434" s="1221">
        <v>550371</v>
      </c>
      <c r="B1434" s="1221" t="s">
        <v>972</v>
      </c>
      <c r="C1434" s="1222" t="s">
        <v>441</v>
      </c>
      <c r="D1434" s="1223">
        <v>0</v>
      </c>
      <c r="E1434" s="1244">
        <f>SUM(D1435)</f>
        <v>286105.26</v>
      </c>
    </row>
    <row r="1435" spans="1:5" ht="12.75">
      <c r="A1435" s="1221"/>
      <c r="B1435" s="1221">
        <v>27</v>
      </c>
      <c r="C1435" s="1229" t="s">
        <v>1153</v>
      </c>
      <c r="D1435" s="1223">
        <v>286105.26</v>
      </c>
      <c r="E1435" s="1243" t="str">
        <f>IF(A1435&gt;0,D1435,"No")</f>
        <v>No</v>
      </c>
    </row>
    <row r="1436" spans="1:5" ht="12.75">
      <c r="A1436" s="1221">
        <v>550372</v>
      </c>
      <c r="B1436" s="1221" t="s">
        <v>972</v>
      </c>
      <c r="C1436" s="1222" t="s">
        <v>442</v>
      </c>
      <c r="D1436" s="1223">
        <v>0</v>
      </c>
      <c r="E1436" s="1244">
        <f>SUM(D1437:D1439)</f>
        <v>0</v>
      </c>
    </row>
    <row r="1437" spans="1:5" ht="12.75">
      <c r="A1437" s="1221"/>
      <c r="B1437" s="1221">
        <v>26</v>
      </c>
      <c r="C1437" s="1229" t="s">
        <v>407</v>
      </c>
      <c r="D1437" s="1223">
        <v>0</v>
      </c>
      <c r="E1437" s="1243" t="str">
        <f>IF(A1437&gt;0,D1437,"No")</f>
        <v>No</v>
      </c>
    </row>
    <row r="1438" spans="1:5" ht="12.75">
      <c r="A1438" s="1221"/>
      <c r="B1438" s="1221">
        <v>27</v>
      </c>
      <c r="C1438" s="1229" t="s">
        <v>1153</v>
      </c>
      <c r="D1438" s="1223">
        <v>0</v>
      </c>
      <c r="E1438" s="1243" t="str">
        <f>IF(A1438&gt;0,D1438,"No")</f>
        <v>No</v>
      </c>
    </row>
    <row r="1439" spans="1:5" ht="12.75">
      <c r="A1439" s="1221"/>
      <c r="B1439" s="1221">
        <v>31</v>
      </c>
      <c r="C1439" s="1229" t="s">
        <v>1179</v>
      </c>
      <c r="D1439" s="1223">
        <v>0</v>
      </c>
      <c r="E1439" s="1243" t="str">
        <f>IF(A1439&gt;0,D1439,"No")</f>
        <v>No</v>
      </c>
    </row>
    <row r="1440" spans="1:5" ht="12.75">
      <c r="A1440" s="1221">
        <v>550373</v>
      </c>
      <c r="B1440" s="1221" t="s">
        <v>972</v>
      </c>
      <c r="C1440" s="1222" t="s">
        <v>443</v>
      </c>
      <c r="D1440" s="1223">
        <v>0</v>
      </c>
      <c r="E1440" s="1244">
        <f>SUM(D1441)</f>
        <v>135000</v>
      </c>
    </row>
    <row r="1441" spans="1:5" ht="12.75">
      <c r="A1441" s="1221"/>
      <c r="B1441" s="1221">
        <v>27</v>
      </c>
      <c r="C1441" s="1229" t="s">
        <v>1153</v>
      </c>
      <c r="D1441" s="1223">
        <v>135000</v>
      </c>
      <c r="E1441" s="1243" t="str">
        <f>IF(A1441&gt;0,D1441,"No")</f>
        <v>No</v>
      </c>
    </row>
    <row r="1442" spans="1:5" ht="12.75">
      <c r="A1442" s="1221">
        <v>550374</v>
      </c>
      <c r="B1442" s="1221" t="s">
        <v>972</v>
      </c>
      <c r="C1442" s="1222" t="s">
        <v>444</v>
      </c>
      <c r="D1442" s="1223">
        <v>0</v>
      </c>
      <c r="E1442" s="1244">
        <f>SUM(D1443:D1447)</f>
        <v>90000</v>
      </c>
    </row>
    <row r="1443" spans="1:5" ht="12.75">
      <c r="A1443" s="1221"/>
      <c r="B1443" s="1221">
        <v>25</v>
      </c>
      <c r="C1443" s="1229" t="s">
        <v>1176</v>
      </c>
      <c r="D1443" s="1223">
        <v>0</v>
      </c>
      <c r="E1443" s="1243" t="str">
        <f>IF(A1443&gt;0,D1443,"No")</f>
        <v>No</v>
      </c>
    </row>
    <row r="1444" spans="1:5" ht="12.75">
      <c r="A1444" s="1221"/>
      <c r="B1444" s="1221">
        <v>27</v>
      </c>
      <c r="C1444" s="1229" t="s">
        <v>1153</v>
      </c>
      <c r="D1444" s="1223">
        <v>90000</v>
      </c>
      <c r="E1444" s="1243" t="str">
        <f>IF(A1444&gt;0,D1444,"No")</f>
        <v>No</v>
      </c>
    </row>
    <row r="1445" spans="1:5" ht="12.75">
      <c r="A1445" s="1221"/>
      <c r="B1445" s="1221">
        <v>28</v>
      </c>
      <c r="C1445" s="1229" t="s">
        <v>1178</v>
      </c>
      <c r="D1445" s="1223">
        <v>0</v>
      </c>
      <c r="E1445" s="1243" t="str">
        <f>IF(A1445&gt;0,D1445,"No")</f>
        <v>No</v>
      </c>
    </row>
    <row r="1446" spans="1:5" ht="12.75">
      <c r="A1446" s="1221"/>
      <c r="B1446" s="1221">
        <v>29</v>
      </c>
      <c r="C1446" s="1229" t="s">
        <v>1182</v>
      </c>
      <c r="D1446" s="1223">
        <v>0</v>
      </c>
      <c r="E1446" s="1243" t="str">
        <f>IF(A1446&gt;0,D1446,"No")</f>
        <v>No</v>
      </c>
    </row>
    <row r="1447" spans="1:5" ht="12.75">
      <c r="A1447" s="1221"/>
      <c r="B1447" s="1221">
        <v>34</v>
      </c>
      <c r="C1447" s="1229" t="s">
        <v>1173</v>
      </c>
      <c r="D1447" s="1223">
        <v>0</v>
      </c>
      <c r="E1447" s="1243" t="str">
        <f>IF(A1447&gt;0,D1447,"No")</f>
        <v>No</v>
      </c>
    </row>
    <row r="1448" spans="1:5" ht="12.75">
      <c r="A1448" s="1221">
        <v>550375</v>
      </c>
      <c r="B1448" s="1221" t="s">
        <v>972</v>
      </c>
      <c r="C1448" s="1222" t="s">
        <v>445</v>
      </c>
      <c r="D1448" s="1223">
        <v>0</v>
      </c>
      <c r="E1448" s="1244">
        <f>SUM(D1449)</f>
        <v>0</v>
      </c>
    </row>
    <row r="1449" spans="1:5" ht="12.75">
      <c r="A1449" s="1221"/>
      <c r="B1449" s="1221">
        <v>27</v>
      </c>
      <c r="C1449" s="1229" t="s">
        <v>1153</v>
      </c>
      <c r="D1449" s="1223">
        <v>0</v>
      </c>
      <c r="E1449" s="1243" t="str">
        <f>IF(A1449&gt;0,D1449,"No")</f>
        <v>No</v>
      </c>
    </row>
    <row r="1450" spans="1:5" ht="12.75">
      <c r="A1450" s="1221">
        <v>550378</v>
      </c>
      <c r="B1450" s="1221" t="s">
        <v>972</v>
      </c>
      <c r="C1450" s="1222" t="s">
        <v>1105</v>
      </c>
      <c r="D1450" s="1223">
        <v>0</v>
      </c>
      <c r="E1450" s="1244">
        <f>SUM(D1451)</f>
        <v>55389.3</v>
      </c>
    </row>
    <row r="1451" spans="1:5" ht="12.75">
      <c r="A1451" s="1221"/>
      <c r="B1451" s="1221">
        <v>27</v>
      </c>
      <c r="C1451" s="1229" t="s">
        <v>1153</v>
      </c>
      <c r="D1451" s="1223">
        <v>55389.3</v>
      </c>
      <c r="E1451" s="1243" t="str">
        <f>IF(A1451&gt;0,D1451,"No")</f>
        <v>No</v>
      </c>
    </row>
    <row r="1452" spans="1:5" ht="12.75">
      <c r="A1452" s="1221">
        <v>550379</v>
      </c>
      <c r="B1452" s="1221" t="s">
        <v>972</v>
      </c>
      <c r="C1452" s="1222" t="s">
        <v>245</v>
      </c>
      <c r="D1452" s="1223">
        <v>0</v>
      </c>
      <c r="E1452" s="1244">
        <f>SUM(D1453)</f>
        <v>141700.36</v>
      </c>
    </row>
    <row r="1453" spans="1:5" ht="12.75">
      <c r="A1453" s="1221"/>
      <c r="B1453" s="1221">
        <v>27</v>
      </c>
      <c r="C1453" s="1229" t="s">
        <v>1153</v>
      </c>
      <c r="D1453" s="1223">
        <v>141700.36</v>
      </c>
      <c r="E1453" s="1243" t="str">
        <f>IF(A1453&gt;0,D1453,"No")</f>
        <v>No</v>
      </c>
    </row>
    <row r="1454" spans="1:5" ht="12.75">
      <c r="A1454" s="1221">
        <v>550380</v>
      </c>
      <c r="B1454" s="1221" t="s">
        <v>972</v>
      </c>
      <c r="C1454" s="1222" t="s">
        <v>446</v>
      </c>
      <c r="D1454" s="1223">
        <v>0</v>
      </c>
      <c r="E1454" s="1244">
        <f>SUM(D1455:D1487)</f>
        <v>500001.32999999996</v>
      </c>
    </row>
    <row r="1455" spans="1:5" ht="12.75">
      <c r="A1455" s="1221"/>
      <c r="B1455" s="1221">
        <v>1</v>
      </c>
      <c r="C1455" s="1229" t="s">
        <v>212</v>
      </c>
      <c r="D1455" s="1223">
        <v>20077.32</v>
      </c>
      <c r="E1455" s="1243" t="str">
        <f aca="true" t="shared" si="54" ref="E1455:E1487">IF(A1455&gt;0,D1455,"No")</f>
        <v>No</v>
      </c>
    </row>
    <row r="1456" spans="1:5" ht="12.75">
      <c r="A1456" s="1221"/>
      <c r="B1456" s="1221">
        <v>2</v>
      </c>
      <c r="C1456" s="1229" t="s">
        <v>213</v>
      </c>
      <c r="D1456" s="1223">
        <v>13342.98</v>
      </c>
      <c r="E1456" s="1243" t="str">
        <f t="shared" si="54"/>
        <v>No</v>
      </c>
    </row>
    <row r="1457" spans="1:5" ht="12.75">
      <c r="A1457" s="1221"/>
      <c r="B1457" s="1221">
        <v>3</v>
      </c>
      <c r="C1457" s="1229" t="s">
        <v>1156</v>
      </c>
      <c r="D1457" s="1223">
        <v>493.64</v>
      </c>
      <c r="E1457" s="1243" t="str">
        <f t="shared" si="54"/>
        <v>No</v>
      </c>
    </row>
    <row r="1458" spans="1:5" ht="12.75">
      <c r="A1458" s="1221"/>
      <c r="B1458" s="1221">
        <v>4</v>
      </c>
      <c r="C1458" s="1229" t="s">
        <v>1157</v>
      </c>
      <c r="D1458" s="1223">
        <v>0</v>
      </c>
      <c r="E1458" s="1243" t="str">
        <f t="shared" si="54"/>
        <v>No</v>
      </c>
    </row>
    <row r="1459" spans="1:5" ht="12.75">
      <c r="A1459" s="1221"/>
      <c r="B1459" s="1221">
        <v>5</v>
      </c>
      <c r="C1459" s="1229" t="s">
        <v>204</v>
      </c>
      <c r="D1459" s="1223">
        <v>0</v>
      </c>
      <c r="E1459" s="1243" t="str">
        <f t="shared" si="54"/>
        <v>No</v>
      </c>
    </row>
    <row r="1460" spans="1:5" ht="12.75">
      <c r="A1460" s="1221"/>
      <c r="B1460" s="1221">
        <v>6</v>
      </c>
      <c r="C1460" s="1229" t="s">
        <v>1159</v>
      </c>
      <c r="D1460" s="1223">
        <v>252.6</v>
      </c>
      <c r="E1460" s="1243" t="str">
        <f t="shared" si="54"/>
        <v>No</v>
      </c>
    </row>
    <row r="1461" spans="1:5" ht="12.75">
      <c r="A1461" s="1221"/>
      <c r="B1461" s="1221">
        <v>7</v>
      </c>
      <c r="C1461" s="1229" t="s">
        <v>1160</v>
      </c>
      <c r="D1461" s="1223">
        <v>189.92</v>
      </c>
      <c r="E1461" s="1243" t="str">
        <f t="shared" si="54"/>
        <v>No</v>
      </c>
    </row>
    <row r="1462" spans="1:5" ht="12.75">
      <c r="A1462" s="1221"/>
      <c r="B1462" s="1221">
        <v>8</v>
      </c>
      <c r="C1462" s="1229" t="s">
        <v>1181</v>
      </c>
      <c r="D1462" s="1223">
        <v>0</v>
      </c>
      <c r="E1462" s="1243" t="str">
        <f t="shared" si="54"/>
        <v>No</v>
      </c>
    </row>
    <row r="1463" spans="1:5" ht="12.75">
      <c r="A1463" s="1221"/>
      <c r="B1463" s="1221">
        <v>9</v>
      </c>
      <c r="C1463" s="1229" t="s">
        <v>1161</v>
      </c>
      <c r="D1463" s="1223">
        <v>0</v>
      </c>
      <c r="E1463" s="1243" t="str">
        <f t="shared" si="54"/>
        <v>No</v>
      </c>
    </row>
    <row r="1464" spans="1:5" ht="12.75">
      <c r="A1464" s="1221"/>
      <c r="B1464" s="1221">
        <v>10</v>
      </c>
      <c r="C1464" s="1229" t="s">
        <v>1162</v>
      </c>
      <c r="D1464" s="1223">
        <v>0</v>
      </c>
      <c r="E1464" s="1243" t="str">
        <f t="shared" si="54"/>
        <v>No</v>
      </c>
    </row>
    <row r="1465" spans="1:5" ht="12.75">
      <c r="A1465" s="1221"/>
      <c r="B1465" s="1221">
        <v>11</v>
      </c>
      <c r="C1465" s="1229" t="s">
        <v>1163</v>
      </c>
      <c r="D1465" s="1223">
        <v>0</v>
      </c>
      <c r="E1465" s="1243" t="str">
        <f t="shared" si="54"/>
        <v>No</v>
      </c>
    </row>
    <row r="1466" spans="1:5" ht="12.75">
      <c r="A1466" s="1221"/>
      <c r="B1466" s="1221">
        <v>12</v>
      </c>
      <c r="C1466" s="1229" t="s">
        <v>1164</v>
      </c>
      <c r="D1466" s="1223">
        <v>0</v>
      </c>
      <c r="E1466" s="1243" t="str">
        <f t="shared" si="54"/>
        <v>No</v>
      </c>
    </row>
    <row r="1467" spans="1:5" ht="12.75">
      <c r="A1467" s="1221"/>
      <c r="B1467" s="1221">
        <v>13</v>
      </c>
      <c r="C1467" s="1229" t="s">
        <v>214</v>
      </c>
      <c r="D1467" s="1223">
        <v>18658.24</v>
      </c>
      <c r="E1467" s="1243" t="str">
        <f t="shared" si="54"/>
        <v>No</v>
      </c>
    </row>
    <row r="1468" spans="1:5" ht="12.75">
      <c r="A1468" s="1221"/>
      <c r="B1468" s="1221">
        <v>14</v>
      </c>
      <c r="C1468" s="1229" t="s">
        <v>205</v>
      </c>
      <c r="D1468" s="1223">
        <v>14476.55</v>
      </c>
      <c r="E1468" s="1243" t="str">
        <f t="shared" si="54"/>
        <v>No</v>
      </c>
    </row>
    <row r="1469" spans="1:5" ht="12.75">
      <c r="A1469" s="1221"/>
      <c r="B1469" s="1221">
        <v>15</v>
      </c>
      <c r="C1469" s="1229" t="s">
        <v>206</v>
      </c>
      <c r="D1469" s="1223">
        <v>0</v>
      </c>
      <c r="E1469" s="1243" t="str">
        <f t="shared" si="54"/>
        <v>No</v>
      </c>
    </row>
    <row r="1470" spans="1:5" ht="12.75">
      <c r="A1470" s="1221"/>
      <c r="B1470" s="1221">
        <v>16</v>
      </c>
      <c r="C1470" s="1229" t="s">
        <v>1167</v>
      </c>
      <c r="D1470" s="1223">
        <v>0</v>
      </c>
      <c r="E1470" s="1243" t="str">
        <f t="shared" si="54"/>
        <v>No</v>
      </c>
    </row>
    <row r="1471" spans="1:5" ht="12.75">
      <c r="A1471" s="1221"/>
      <c r="B1471" s="1221">
        <v>17</v>
      </c>
      <c r="C1471" s="1229" t="s">
        <v>1168</v>
      </c>
      <c r="D1471" s="1223">
        <v>18373.72</v>
      </c>
      <c r="E1471" s="1243" t="str">
        <f t="shared" si="54"/>
        <v>No</v>
      </c>
    </row>
    <row r="1472" spans="1:5" ht="12.75">
      <c r="A1472" s="1221"/>
      <c r="B1472" s="1221">
        <v>18</v>
      </c>
      <c r="C1472" s="1229" t="s">
        <v>1172</v>
      </c>
      <c r="D1472" s="1223">
        <v>22247.8</v>
      </c>
      <c r="E1472" s="1243" t="str">
        <f t="shared" si="54"/>
        <v>No</v>
      </c>
    </row>
    <row r="1473" spans="1:5" ht="12.75">
      <c r="A1473" s="1221"/>
      <c r="B1473" s="1221">
        <v>19</v>
      </c>
      <c r="C1473" s="1229" t="s">
        <v>215</v>
      </c>
      <c r="D1473" s="1223">
        <v>0</v>
      </c>
      <c r="E1473" s="1243" t="str">
        <f t="shared" si="54"/>
        <v>No</v>
      </c>
    </row>
    <row r="1474" spans="1:5" ht="12.75">
      <c r="A1474" s="1221"/>
      <c r="B1474" s="1221">
        <v>20</v>
      </c>
      <c r="C1474" s="1229" t="s">
        <v>216</v>
      </c>
      <c r="D1474" s="1223">
        <v>0</v>
      </c>
      <c r="E1474" s="1243" t="str">
        <f t="shared" si="54"/>
        <v>No</v>
      </c>
    </row>
    <row r="1475" spans="1:5" ht="12.75">
      <c r="A1475" s="1221"/>
      <c r="B1475" s="1221">
        <v>21</v>
      </c>
      <c r="C1475" s="1229" t="s">
        <v>217</v>
      </c>
      <c r="D1475" s="1223">
        <v>0</v>
      </c>
      <c r="E1475" s="1243" t="str">
        <f t="shared" si="54"/>
        <v>No</v>
      </c>
    </row>
    <row r="1476" spans="1:5" ht="12.75">
      <c r="A1476" s="1221"/>
      <c r="B1476" s="1221">
        <v>22</v>
      </c>
      <c r="C1476" s="1229" t="s">
        <v>218</v>
      </c>
      <c r="D1476" s="1223">
        <v>0</v>
      </c>
      <c r="E1476" s="1243" t="str">
        <f t="shared" si="54"/>
        <v>No</v>
      </c>
    </row>
    <row r="1477" spans="1:5" ht="12.75">
      <c r="A1477" s="1221"/>
      <c r="B1477" s="1221">
        <v>23</v>
      </c>
      <c r="C1477" s="1229" t="s">
        <v>219</v>
      </c>
      <c r="D1477" s="1223">
        <v>0</v>
      </c>
      <c r="E1477" s="1243" t="str">
        <f t="shared" si="54"/>
        <v>No</v>
      </c>
    </row>
    <row r="1478" spans="1:5" ht="12.75">
      <c r="A1478" s="1221"/>
      <c r="B1478" s="1221">
        <v>24</v>
      </c>
      <c r="C1478" s="1229" t="s">
        <v>220</v>
      </c>
      <c r="D1478" s="1223">
        <v>0</v>
      </c>
      <c r="E1478" s="1243" t="str">
        <f t="shared" si="54"/>
        <v>No</v>
      </c>
    </row>
    <row r="1479" spans="1:5" ht="12.75">
      <c r="A1479" s="1221"/>
      <c r="B1479" s="1221">
        <v>25</v>
      </c>
      <c r="C1479" s="1229" t="s">
        <v>1176</v>
      </c>
      <c r="D1479" s="1223">
        <v>66182.33</v>
      </c>
      <c r="E1479" s="1243" t="str">
        <f t="shared" si="54"/>
        <v>No</v>
      </c>
    </row>
    <row r="1480" spans="1:5" ht="12.75">
      <c r="A1480" s="1221"/>
      <c r="B1480" s="1221">
        <v>26</v>
      </c>
      <c r="C1480" s="1229" t="s">
        <v>407</v>
      </c>
      <c r="D1480" s="1223">
        <v>92901.2</v>
      </c>
      <c r="E1480" s="1243" t="str">
        <f t="shared" si="54"/>
        <v>No</v>
      </c>
    </row>
    <row r="1481" spans="1:5" ht="12.75">
      <c r="A1481" s="1221"/>
      <c r="B1481" s="1221">
        <v>27</v>
      </c>
      <c r="C1481" s="1229" t="s">
        <v>1153</v>
      </c>
      <c r="D1481" s="1223">
        <v>66015.67</v>
      </c>
      <c r="E1481" s="1243" t="str">
        <f t="shared" si="54"/>
        <v>No</v>
      </c>
    </row>
    <row r="1482" spans="1:5" ht="12.75">
      <c r="A1482" s="1221"/>
      <c r="B1482" s="1221">
        <v>28</v>
      </c>
      <c r="C1482" s="1229" t="s">
        <v>1178</v>
      </c>
      <c r="D1482" s="1223">
        <v>67507.85</v>
      </c>
      <c r="E1482" s="1243" t="str">
        <f t="shared" si="54"/>
        <v>No</v>
      </c>
    </row>
    <row r="1483" spans="1:5" ht="12.75">
      <c r="A1483" s="1221"/>
      <c r="B1483" s="1221">
        <v>29</v>
      </c>
      <c r="C1483" s="1229" t="s">
        <v>1182</v>
      </c>
      <c r="D1483" s="1223">
        <v>17312.24</v>
      </c>
      <c r="E1483" s="1243" t="str">
        <f t="shared" si="54"/>
        <v>No</v>
      </c>
    </row>
    <row r="1484" spans="1:5" ht="12.75">
      <c r="A1484" s="1221"/>
      <c r="B1484" s="1221">
        <v>31</v>
      </c>
      <c r="C1484" s="1229" t="s">
        <v>1179</v>
      </c>
      <c r="D1484" s="1223">
        <v>71332.81</v>
      </c>
      <c r="E1484" s="1243" t="str">
        <f t="shared" si="54"/>
        <v>No</v>
      </c>
    </row>
    <row r="1485" spans="1:5" ht="12.75">
      <c r="A1485" s="1221"/>
      <c r="B1485" s="1221">
        <v>33</v>
      </c>
      <c r="C1485" s="1229" t="s">
        <v>1183</v>
      </c>
      <c r="D1485" s="1223">
        <v>0</v>
      </c>
      <c r="E1485" s="1243" t="str">
        <f t="shared" si="54"/>
        <v>No</v>
      </c>
    </row>
    <row r="1486" spans="1:5" ht="12.75">
      <c r="A1486" s="1221"/>
      <c r="B1486" s="1221">
        <v>34</v>
      </c>
      <c r="C1486" s="1229" t="s">
        <v>1173</v>
      </c>
      <c r="D1486" s="1223">
        <v>0</v>
      </c>
      <c r="E1486" s="1243" t="str">
        <f t="shared" si="54"/>
        <v>No</v>
      </c>
    </row>
    <row r="1487" spans="1:5" ht="12.75">
      <c r="A1487" s="1221"/>
      <c r="B1487" s="1221">
        <v>39</v>
      </c>
      <c r="C1487" s="1229" t="s">
        <v>1170</v>
      </c>
      <c r="D1487" s="1223">
        <v>10636.46</v>
      </c>
      <c r="E1487" s="1243" t="str">
        <f t="shared" si="54"/>
        <v>No</v>
      </c>
    </row>
    <row r="1488" spans="1:5" ht="12.75">
      <c r="A1488" s="1221">
        <v>550381</v>
      </c>
      <c r="B1488" s="1221" t="s">
        <v>972</v>
      </c>
      <c r="C1488" s="1222" t="s">
        <v>248</v>
      </c>
      <c r="D1488" s="1223">
        <v>0</v>
      </c>
      <c r="E1488" s="1244">
        <f>SUM(D1489:D1492)</f>
        <v>1791.51</v>
      </c>
    </row>
    <row r="1489" spans="1:5" ht="12.75">
      <c r="A1489" s="1221"/>
      <c r="B1489" s="1221">
        <v>25</v>
      </c>
      <c r="C1489" s="1229" t="s">
        <v>1176</v>
      </c>
      <c r="D1489" s="1223">
        <v>979.86</v>
      </c>
      <c r="E1489" s="1243" t="str">
        <f>IF(A1489&gt;0,D1489,"No")</f>
        <v>No</v>
      </c>
    </row>
    <row r="1490" spans="1:5" ht="12.75">
      <c r="A1490" s="1221"/>
      <c r="B1490" s="1221">
        <v>26</v>
      </c>
      <c r="C1490" s="1229" t="s">
        <v>407</v>
      </c>
      <c r="D1490" s="1223">
        <v>0</v>
      </c>
      <c r="E1490" s="1243" t="str">
        <f>IF(A1490&gt;0,D1490,"No")</f>
        <v>No</v>
      </c>
    </row>
    <row r="1491" spans="1:5" ht="12.75">
      <c r="A1491" s="1221"/>
      <c r="B1491" s="1221">
        <v>27</v>
      </c>
      <c r="C1491" s="1229" t="s">
        <v>1153</v>
      </c>
      <c r="D1491" s="1223">
        <v>0</v>
      </c>
      <c r="E1491" s="1243" t="str">
        <f>IF(A1491&gt;0,D1491,"No")</f>
        <v>No</v>
      </c>
    </row>
    <row r="1492" spans="1:5" ht="12.75">
      <c r="A1492" s="1221"/>
      <c r="B1492" s="1221">
        <v>28</v>
      </c>
      <c r="C1492" s="1229" t="s">
        <v>1178</v>
      </c>
      <c r="D1492" s="1223">
        <v>811.65</v>
      </c>
      <c r="E1492" s="1243" t="str">
        <f>IF(A1492&gt;0,D1492,"No")</f>
        <v>No</v>
      </c>
    </row>
    <row r="1493" spans="1:5" ht="12.75">
      <c r="A1493" s="1221">
        <v>550382</v>
      </c>
      <c r="B1493" s="1221" t="s">
        <v>972</v>
      </c>
      <c r="C1493" s="1222" t="s">
        <v>447</v>
      </c>
      <c r="D1493" s="1223">
        <v>0</v>
      </c>
      <c r="E1493" s="1244">
        <f>SUM(D1494)</f>
        <v>28777.59</v>
      </c>
    </row>
    <row r="1494" spans="1:5" ht="12.75">
      <c r="A1494" s="1221"/>
      <c r="B1494" s="1221">
        <v>27</v>
      </c>
      <c r="C1494" s="1229" t="s">
        <v>1153</v>
      </c>
      <c r="D1494" s="1223">
        <v>28777.59</v>
      </c>
      <c r="E1494" s="1243" t="str">
        <f>IF(A1494&gt;0,D1494,"No")</f>
        <v>No</v>
      </c>
    </row>
    <row r="1495" spans="1:5" ht="12.75">
      <c r="A1495" s="1221">
        <v>550390</v>
      </c>
      <c r="B1495" s="1221" t="s">
        <v>972</v>
      </c>
      <c r="C1495" s="1222" t="s">
        <v>448</v>
      </c>
      <c r="D1495" s="1223">
        <v>0</v>
      </c>
      <c r="E1495" s="1244">
        <f>SUM(D1496:D1497)</f>
        <v>390600.78</v>
      </c>
    </row>
    <row r="1496" spans="1:5" ht="12.75">
      <c r="A1496" s="1221"/>
      <c r="B1496" s="1221">
        <v>27</v>
      </c>
      <c r="C1496" s="1229" t="s">
        <v>1153</v>
      </c>
      <c r="D1496" s="1223">
        <v>390600.78</v>
      </c>
      <c r="E1496" s="1243" t="str">
        <f>IF(A1496&gt;0,D1496,"No")</f>
        <v>No</v>
      </c>
    </row>
    <row r="1497" spans="1:5" ht="12.75">
      <c r="A1497" s="1221"/>
      <c r="B1497" s="1221">
        <v>34</v>
      </c>
      <c r="C1497" s="1229" t="s">
        <v>1173</v>
      </c>
      <c r="D1497" s="1223">
        <v>0</v>
      </c>
      <c r="E1497" s="1243" t="str">
        <f>IF(A1497&gt;0,D1497,"No")</f>
        <v>No</v>
      </c>
    </row>
    <row r="1498" spans="1:5" ht="12.75">
      <c r="A1498" s="1221">
        <v>550400</v>
      </c>
      <c r="B1498" s="1221" t="s">
        <v>972</v>
      </c>
      <c r="C1498" s="1222" t="s">
        <v>449</v>
      </c>
      <c r="D1498" s="1223">
        <v>0</v>
      </c>
      <c r="E1498" s="1244">
        <f>SUM(D1499)</f>
        <v>0</v>
      </c>
    </row>
    <row r="1499" spans="1:5" ht="12.75">
      <c r="A1499" s="1221"/>
      <c r="B1499" s="1221">
        <v>27</v>
      </c>
      <c r="C1499" s="1229" t="s">
        <v>1153</v>
      </c>
      <c r="D1499" s="1223">
        <v>0</v>
      </c>
      <c r="E1499" s="1243" t="str">
        <f>IF(A1499&gt;0,D1499,"No")</f>
        <v>No</v>
      </c>
    </row>
    <row r="1500" spans="1:5" ht="12.75">
      <c r="A1500" s="1221">
        <v>550410</v>
      </c>
      <c r="B1500" s="1221" t="s">
        <v>972</v>
      </c>
      <c r="C1500" s="1222" t="s">
        <v>450</v>
      </c>
      <c r="D1500" s="1223">
        <v>0</v>
      </c>
      <c r="E1500" s="1244">
        <f>SUM(D1501:D1522)</f>
        <v>148251</v>
      </c>
    </row>
    <row r="1501" spans="1:5" ht="12.75">
      <c r="A1501" s="1221"/>
      <c r="B1501" s="1221">
        <v>1</v>
      </c>
      <c r="C1501" s="1229" t="s">
        <v>212</v>
      </c>
      <c r="D1501" s="1223">
        <v>5320</v>
      </c>
      <c r="E1501" s="1243" t="str">
        <f aca="true" t="shared" si="55" ref="E1501:E1522">IF(A1501&gt;0,D1501,"No")</f>
        <v>No</v>
      </c>
    </row>
    <row r="1502" spans="1:5" ht="12.75">
      <c r="A1502" s="1221"/>
      <c r="B1502" s="1221">
        <v>2</v>
      </c>
      <c r="C1502" s="1229" t="s">
        <v>213</v>
      </c>
      <c r="D1502" s="1223">
        <v>16720</v>
      </c>
      <c r="E1502" s="1243" t="str">
        <f t="shared" si="55"/>
        <v>No</v>
      </c>
    </row>
    <row r="1503" spans="1:5" ht="12.75">
      <c r="A1503" s="1221"/>
      <c r="B1503" s="1221">
        <v>4</v>
      </c>
      <c r="C1503" s="1229" t="s">
        <v>1157</v>
      </c>
      <c r="D1503" s="1223">
        <v>0</v>
      </c>
      <c r="E1503" s="1243" t="str">
        <f t="shared" si="55"/>
        <v>No</v>
      </c>
    </row>
    <row r="1504" spans="1:5" ht="12.75">
      <c r="A1504" s="1221"/>
      <c r="B1504" s="1221">
        <v>7</v>
      </c>
      <c r="C1504" s="1229" t="s">
        <v>1160</v>
      </c>
      <c r="D1504" s="1223">
        <v>0</v>
      </c>
      <c r="E1504" s="1243" t="str">
        <f t="shared" si="55"/>
        <v>No</v>
      </c>
    </row>
    <row r="1505" spans="1:5" ht="12.75">
      <c r="A1505" s="1221"/>
      <c r="B1505" s="1221">
        <v>13</v>
      </c>
      <c r="C1505" s="1229" t="s">
        <v>214</v>
      </c>
      <c r="D1505" s="1223">
        <v>11600</v>
      </c>
      <c r="E1505" s="1243" t="str">
        <f t="shared" si="55"/>
        <v>No</v>
      </c>
    </row>
    <row r="1506" spans="1:5" ht="12.75">
      <c r="A1506" s="1221"/>
      <c r="B1506" s="1221">
        <v>14</v>
      </c>
      <c r="C1506" s="1229" t="s">
        <v>205</v>
      </c>
      <c r="D1506" s="1223">
        <v>3420</v>
      </c>
      <c r="E1506" s="1243" t="str">
        <f t="shared" si="55"/>
        <v>No</v>
      </c>
    </row>
    <row r="1507" spans="1:5" ht="12.75">
      <c r="A1507" s="1221"/>
      <c r="B1507" s="1221">
        <v>15</v>
      </c>
      <c r="C1507" s="1229" t="s">
        <v>206</v>
      </c>
      <c r="D1507" s="1223">
        <v>0</v>
      </c>
      <c r="E1507" s="1243" t="str">
        <f t="shared" si="55"/>
        <v>No</v>
      </c>
    </row>
    <row r="1508" spans="1:5" ht="12.75">
      <c r="A1508" s="1221"/>
      <c r="B1508" s="1221">
        <v>17</v>
      </c>
      <c r="C1508" s="1229" t="s">
        <v>1168</v>
      </c>
      <c r="D1508" s="1223">
        <v>6840</v>
      </c>
      <c r="E1508" s="1243" t="str">
        <f t="shared" si="55"/>
        <v>No</v>
      </c>
    </row>
    <row r="1509" spans="1:5" ht="12.75">
      <c r="A1509" s="1221"/>
      <c r="B1509" s="1221">
        <v>18</v>
      </c>
      <c r="C1509" s="1229" t="s">
        <v>1172</v>
      </c>
      <c r="D1509" s="1223">
        <v>3230</v>
      </c>
      <c r="E1509" s="1243" t="str">
        <f t="shared" si="55"/>
        <v>No</v>
      </c>
    </row>
    <row r="1510" spans="1:5" ht="12.75">
      <c r="A1510" s="1221"/>
      <c r="B1510" s="1221">
        <v>21</v>
      </c>
      <c r="C1510" s="1229" t="s">
        <v>217</v>
      </c>
      <c r="D1510" s="1223">
        <v>0</v>
      </c>
      <c r="E1510" s="1243" t="str">
        <f t="shared" si="55"/>
        <v>No</v>
      </c>
    </row>
    <row r="1511" spans="1:5" ht="12.75">
      <c r="A1511" s="1221"/>
      <c r="B1511" s="1221">
        <v>25</v>
      </c>
      <c r="C1511" s="1229" t="s">
        <v>1176</v>
      </c>
      <c r="D1511" s="1223">
        <v>4800</v>
      </c>
      <c r="E1511" s="1243" t="str">
        <f t="shared" si="55"/>
        <v>No</v>
      </c>
    </row>
    <row r="1512" spans="1:5" ht="12.75">
      <c r="A1512" s="1221"/>
      <c r="B1512" s="1221">
        <v>26</v>
      </c>
      <c r="C1512" s="1229" t="s">
        <v>407</v>
      </c>
      <c r="D1512" s="1223">
        <v>0</v>
      </c>
      <c r="E1512" s="1243" t="str">
        <f t="shared" si="55"/>
        <v>No</v>
      </c>
    </row>
    <row r="1513" spans="1:5" ht="12.75">
      <c r="A1513" s="1221"/>
      <c r="B1513" s="1221">
        <v>27</v>
      </c>
      <c r="C1513" s="1229" t="s">
        <v>1153</v>
      </c>
      <c r="D1513" s="1223">
        <v>26000</v>
      </c>
      <c r="E1513" s="1243" t="str">
        <f t="shared" si="55"/>
        <v>No</v>
      </c>
    </row>
    <row r="1514" spans="1:5" ht="12.75">
      <c r="A1514" s="1221"/>
      <c r="B1514" s="1221">
        <v>28</v>
      </c>
      <c r="C1514" s="1229" t="s">
        <v>1178</v>
      </c>
      <c r="D1514" s="1223">
        <v>22400</v>
      </c>
      <c r="E1514" s="1243" t="str">
        <f t="shared" si="55"/>
        <v>No</v>
      </c>
    </row>
    <row r="1515" spans="1:5" ht="12.75">
      <c r="A1515" s="1221"/>
      <c r="B1515" s="1221">
        <v>29</v>
      </c>
      <c r="C1515" s="1229" t="s">
        <v>1182</v>
      </c>
      <c r="D1515" s="1223">
        <v>6000</v>
      </c>
      <c r="E1515" s="1243" t="str">
        <f t="shared" si="55"/>
        <v>No</v>
      </c>
    </row>
    <row r="1516" spans="1:5" ht="12.75">
      <c r="A1516" s="1221"/>
      <c r="B1516" s="1221">
        <v>31</v>
      </c>
      <c r="C1516" s="1229" t="s">
        <v>1179</v>
      </c>
      <c r="D1516" s="1223">
        <v>27671</v>
      </c>
      <c r="E1516" s="1243" t="str">
        <f t="shared" si="55"/>
        <v>No</v>
      </c>
    </row>
    <row r="1517" spans="1:5" ht="12.75">
      <c r="A1517" s="1221"/>
      <c r="B1517" s="1221">
        <v>33</v>
      </c>
      <c r="C1517" s="1229" t="s">
        <v>1183</v>
      </c>
      <c r="D1517" s="1223">
        <v>0</v>
      </c>
      <c r="E1517" s="1243" t="str">
        <f t="shared" si="55"/>
        <v>No</v>
      </c>
    </row>
    <row r="1518" spans="1:5" ht="12.75">
      <c r="A1518" s="1221"/>
      <c r="B1518" s="1221">
        <v>34</v>
      </c>
      <c r="C1518" s="1229" t="s">
        <v>1173</v>
      </c>
      <c r="D1518" s="1223">
        <v>0</v>
      </c>
      <c r="E1518" s="1243" t="str">
        <f t="shared" si="55"/>
        <v>No</v>
      </c>
    </row>
    <row r="1519" spans="1:5" ht="12.75">
      <c r="A1519" s="1221"/>
      <c r="B1519" s="1221">
        <v>35</v>
      </c>
      <c r="C1519" s="1229" t="s">
        <v>408</v>
      </c>
      <c r="D1519" s="1223">
        <v>10830</v>
      </c>
      <c r="E1519" s="1243" t="str">
        <f t="shared" si="55"/>
        <v>No</v>
      </c>
    </row>
    <row r="1520" spans="1:5" ht="12.75">
      <c r="A1520" s="1221"/>
      <c r="B1520" s="1221">
        <v>36</v>
      </c>
      <c r="C1520" s="1229" t="s">
        <v>409</v>
      </c>
      <c r="D1520" s="1223">
        <v>0</v>
      </c>
      <c r="E1520" s="1243" t="str">
        <f t="shared" si="55"/>
        <v>No</v>
      </c>
    </row>
    <row r="1521" spans="1:5" ht="12.75">
      <c r="A1521" s="1221"/>
      <c r="B1521" s="1221">
        <v>37</v>
      </c>
      <c r="C1521" s="1229" t="s">
        <v>414</v>
      </c>
      <c r="D1521" s="1223">
        <v>0</v>
      </c>
      <c r="E1521" s="1243" t="str">
        <f t="shared" si="55"/>
        <v>No</v>
      </c>
    </row>
    <row r="1522" spans="1:5" ht="12.75">
      <c r="A1522" s="1221"/>
      <c r="B1522" s="1221">
        <v>39</v>
      </c>
      <c r="C1522" s="1229" t="s">
        <v>1170</v>
      </c>
      <c r="D1522" s="1223">
        <v>3420</v>
      </c>
      <c r="E1522" s="1243" t="str">
        <f t="shared" si="55"/>
        <v>No</v>
      </c>
    </row>
    <row r="1523" spans="1:5" ht="12.75">
      <c r="A1523" s="1221">
        <v>550420</v>
      </c>
      <c r="B1523" s="1221" t="s">
        <v>972</v>
      </c>
      <c r="C1523" s="1222" t="s">
        <v>451</v>
      </c>
      <c r="D1523" s="1223">
        <v>0</v>
      </c>
      <c r="E1523" s="1244">
        <f>SUM(D1524)</f>
        <v>0</v>
      </c>
    </row>
    <row r="1524" spans="1:5" ht="12.75">
      <c r="A1524" s="1221"/>
      <c r="B1524" s="1221">
        <v>27</v>
      </c>
      <c r="C1524" s="1229" t="s">
        <v>1153</v>
      </c>
      <c r="D1524" s="1223">
        <v>0</v>
      </c>
      <c r="E1524" s="1243" t="str">
        <f>IF(A1524&gt;0,D1524,"No")</f>
        <v>No</v>
      </c>
    </row>
    <row r="1525" spans="1:5" ht="12.75">
      <c r="A1525" s="1221">
        <v>550430</v>
      </c>
      <c r="B1525" s="1221" t="s">
        <v>972</v>
      </c>
      <c r="C1525" s="1222" t="s">
        <v>452</v>
      </c>
      <c r="D1525" s="1223">
        <v>0</v>
      </c>
      <c r="E1525" s="1244">
        <f>SUM(D1526)</f>
        <v>45312.31</v>
      </c>
    </row>
    <row r="1526" spans="1:5" ht="12.75">
      <c r="A1526" s="1221"/>
      <c r="B1526" s="1221">
        <v>27</v>
      </c>
      <c r="C1526" s="1229" t="s">
        <v>1153</v>
      </c>
      <c r="D1526" s="1223">
        <v>45312.31</v>
      </c>
      <c r="E1526" s="1243" t="str">
        <f>IF(A1526&gt;0,D1526,"No")</f>
        <v>No</v>
      </c>
    </row>
    <row r="1527" spans="1:5" ht="12.75">
      <c r="A1527" s="1221">
        <v>550440</v>
      </c>
      <c r="B1527" s="1221" t="s">
        <v>972</v>
      </c>
      <c r="C1527" s="1222" t="s">
        <v>453</v>
      </c>
      <c r="D1527" s="1223">
        <v>0</v>
      </c>
      <c r="E1527" s="1244">
        <f>SUM(D1528)</f>
        <v>0</v>
      </c>
    </row>
    <row r="1528" spans="1:5" ht="12.75">
      <c r="A1528" s="1221"/>
      <c r="B1528" s="1221">
        <v>27</v>
      </c>
      <c r="C1528" s="1229" t="s">
        <v>1153</v>
      </c>
      <c r="D1528" s="1223">
        <v>0</v>
      </c>
      <c r="E1528" s="1243" t="str">
        <f>IF(A1528&gt;0,D1528,"No")</f>
        <v>No</v>
      </c>
    </row>
    <row r="1529" spans="1:5" ht="12.75">
      <c r="A1529" s="1221">
        <v>550450</v>
      </c>
      <c r="B1529" s="1221" t="s">
        <v>972</v>
      </c>
      <c r="C1529" s="1222" t="s">
        <v>454</v>
      </c>
      <c r="D1529" s="1223">
        <v>0</v>
      </c>
      <c r="E1529" s="1244">
        <f>SUM(D1530)</f>
        <v>0</v>
      </c>
    </row>
    <row r="1530" spans="1:5" ht="12.75">
      <c r="A1530" s="1221"/>
      <c r="B1530" s="1221">
        <v>27</v>
      </c>
      <c r="C1530" s="1229" t="s">
        <v>1153</v>
      </c>
      <c r="D1530" s="1223">
        <v>0</v>
      </c>
      <c r="E1530" s="1243" t="str">
        <f>IF(A1530&gt;0,D1530,"No")</f>
        <v>No</v>
      </c>
    </row>
    <row r="1531" spans="1:5" ht="12.75">
      <c r="A1531" s="1221">
        <v>550460</v>
      </c>
      <c r="B1531" s="1221" t="s">
        <v>972</v>
      </c>
      <c r="C1531" s="1222" t="s">
        <v>455</v>
      </c>
      <c r="D1531" s="1223">
        <v>0</v>
      </c>
      <c r="E1531" s="1244">
        <f>SUM(D1532:D1534)</f>
        <v>1080220.28</v>
      </c>
    </row>
    <row r="1532" spans="1:5" ht="12.75">
      <c r="A1532" s="1221"/>
      <c r="B1532" s="1221">
        <v>27</v>
      </c>
      <c r="C1532" s="1229" t="s">
        <v>1153</v>
      </c>
      <c r="D1532" s="1223">
        <v>0</v>
      </c>
      <c r="E1532" s="1243" t="str">
        <f>IF(A1532&gt;0,D1532,"No")</f>
        <v>No</v>
      </c>
    </row>
    <row r="1533" spans="1:5" ht="12.75">
      <c r="A1533" s="1221"/>
      <c r="B1533" s="1221">
        <v>30</v>
      </c>
      <c r="C1533" s="1229" t="s">
        <v>973</v>
      </c>
      <c r="D1533" s="1223">
        <v>799575.33</v>
      </c>
      <c r="E1533" s="1243" t="str">
        <f>IF(A1533&gt;0,D1533,"No")</f>
        <v>No</v>
      </c>
    </row>
    <row r="1534" spans="1:5" ht="12.75">
      <c r="A1534" s="1221"/>
      <c r="B1534" s="1221">
        <v>40</v>
      </c>
      <c r="C1534" s="1229" t="s">
        <v>974</v>
      </c>
      <c r="D1534" s="1223">
        <v>280644.95</v>
      </c>
      <c r="E1534" s="1243" t="str">
        <f>IF(A1534&gt;0,D1534,"No")</f>
        <v>No</v>
      </c>
    </row>
    <row r="1535" spans="1:5" ht="12.75">
      <c r="A1535" s="1221">
        <v>550470</v>
      </c>
      <c r="B1535" s="1221" t="s">
        <v>972</v>
      </c>
      <c r="C1535" s="1222" t="s">
        <v>456</v>
      </c>
      <c r="D1535" s="1223">
        <v>0</v>
      </c>
      <c r="E1535" s="1244">
        <f>SUM(D1536:D1541)</f>
        <v>0</v>
      </c>
    </row>
    <row r="1536" spans="1:5" ht="12.75">
      <c r="A1536" s="1221"/>
      <c r="B1536" s="1221">
        <v>25</v>
      </c>
      <c r="C1536" s="1229" t="s">
        <v>1176</v>
      </c>
      <c r="D1536" s="1223">
        <v>0</v>
      </c>
      <c r="E1536" s="1243" t="str">
        <f aca="true" t="shared" si="56" ref="E1536:E1541">IF(A1536&gt;0,D1536,"No")</f>
        <v>No</v>
      </c>
    </row>
    <row r="1537" spans="1:5" ht="12.75">
      <c r="A1537" s="1221"/>
      <c r="B1537" s="1221">
        <v>26</v>
      </c>
      <c r="C1537" s="1229" t="s">
        <v>407</v>
      </c>
      <c r="D1537" s="1223">
        <v>0</v>
      </c>
      <c r="E1537" s="1243" t="str">
        <f t="shared" si="56"/>
        <v>No</v>
      </c>
    </row>
    <row r="1538" spans="1:5" ht="12.75">
      <c r="A1538" s="1221"/>
      <c r="B1538" s="1221">
        <v>27</v>
      </c>
      <c r="C1538" s="1229" t="s">
        <v>1153</v>
      </c>
      <c r="D1538" s="1223">
        <v>0</v>
      </c>
      <c r="E1538" s="1243" t="str">
        <f t="shared" si="56"/>
        <v>No</v>
      </c>
    </row>
    <row r="1539" spans="1:5" ht="12.75">
      <c r="A1539" s="1221"/>
      <c r="B1539" s="1221">
        <v>28</v>
      </c>
      <c r="C1539" s="1229" t="s">
        <v>1178</v>
      </c>
      <c r="D1539" s="1223">
        <v>0</v>
      </c>
      <c r="E1539" s="1243" t="str">
        <f t="shared" si="56"/>
        <v>No</v>
      </c>
    </row>
    <row r="1540" spans="1:5" ht="12.75">
      <c r="A1540" s="1221"/>
      <c r="B1540" s="1221">
        <v>29</v>
      </c>
      <c r="C1540" s="1229" t="s">
        <v>1182</v>
      </c>
      <c r="D1540" s="1223">
        <v>0</v>
      </c>
      <c r="E1540" s="1243" t="str">
        <f t="shared" si="56"/>
        <v>No</v>
      </c>
    </row>
    <row r="1541" spans="1:5" ht="12.75">
      <c r="A1541" s="1221"/>
      <c r="B1541" s="1221">
        <v>31</v>
      </c>
      <c r="C1541" s="1229" t="s">
        <v>1179</v>
      </c>
      <c r="D1541" s="1223">
        <v>0</v>
      </c>
      <c r="E1541" s="1243" t="str">
        <f t="shared" si="56"/>
        <v>No</v>
      </c>
    </row>
    <row r="1542" spans="1:5" ht="12.75">
      <c r="A1542" s="1221">
        <v>550480</v>
      </c>
      <c r="B1542" s="1221" t="s">
        <v>972</v>
      </c>
      <c r="C1542" s="1222" t="s">
        <v>457</v>
      </c>
      <c r="D1542" s="1223">
        <v>0</v>
      </c>
      <c r="E1542" s="1244">
        <f>SUM(D1543)</f>
        <v>48173</v>
      </c>
    </row>
    <row r="1543" spans="1:5" ht="12.75">
      <c r="A1543" s="1221"/>
      <c r="B1543" s="1221">
        <v>27</v>
      </c>
      <c r="C1543" s="1229" t="s">
        <v>1153</v>
      </c>
      <c r="D1543" s="1223">
        <v>48173</v>
      </c>
      <c r="E1543" s="1243" t="str">
        <f>IF(A1543&gt;0,D1543,"No")</f>
        <v>No</v>
      </c>
    </row>
    <row r="1544" spans="1:5" ht="12.75">
      <c r="A1544" s="1221">
        <v>550490</v>
      </c>
      <c r="B1544" s="1221" t="s">
        <v>972</v>
      </c>
      <c r="C1544" s="1222" t="s">
        <v>458</v>
      </c>
      <c r="D1544" s="1223">
        <v>0</v>
      </c>
      <c r="E1544" s="1244">
        <f>SUM(D1545)</f>
        <v>1</v>
      </c>
    </row>
    <row r="1545" spans="1:5" ht="12.75">
      <c r="A1545" s="1221"/>
      <c r="B1545" s="1221">
        <v>27</v>
      </c>
      <c r="C1545" s="1229" t="s">
        <v>1153</v>
      </c>
      <c r="D1545" s="1227">
        <v>1</v>
      </c>
      <c r="E1545" s="1243" t="str">
        <f>IF(A1545&gt;0,D1545,"No")</f>
        <v>No</v>
      </c>
    </row>
    <row r="1546" spans="1:5" ht="12.75">
      <c r="A1546" s="1221">
        <v>550500</v>
      </c>
      <c r="B1546" s="1221" t="s">
        <v>972</v>
      </c>
      <c r="C1546" s="1222" t="s">
        <v>459</v>
      </c>
      <c r="D1546" s="1223">
        <v>0</v>
      </c>
      <c r="E1546" s="1244">
        <f>SUM(D1547:D1548)</f>
        <v>0</v>
      </c>
    </row>
    <row r="1547" spans="1:5" ht="12.75">
      <c r="A1547" s="1221"/>
      <c r="B1547" s="1221">
        <v>27</v>
      </c>
      <c r="C1547" s="1229" t="s">
        <v>1153</v>
      </c>
      <c r="D1547" s="1223">
        <v>0</v>
      </c>
      <c r="E1547" s="1243" t="str">
        <f>IF(A1547&gt;0,D1547,"No")</f>
        <v>No</v>
      </c>
    </row>
    <row r="1548" spans="1:5" ht="12.75">
      <c r="A1548" s="1221"/>
      <c r="B1548" s="1221">
        <v>28</v>
      </c>
      <c r="C1548" s="1229" t="s">
        <v>1178</v>
      </c>
      <c r="D1548" s="1223">
        <v>0</v>
      </c>
      <c r="E1548" s="1243" t="str">
        <f>IF(A1548&gt;0,D1548,"No")</f>
        <v>No</v>
      </c>
    </row>
    <row r="1549" spans="1:5" ht="12.75">
      <c r="A1549" s="1221">
        <v>550600</v>
      </c>
      <c r="B1549" s="1221" t="s">
        <v>972</v>
      </c>
      <c r="C1549" s="1222" t="s">
        <v>460</v>
      </c>
      <c r="D1549" s="1223">
        <v>0</v>
      </c>
      <c r="E1549" s="1244">
        <f>SUM(D1550)</f>
        <v>0</v>
      </c>
    </row>
    <row r="1550" spans="1:5" ht="12.75">
      <c r="A1550" s="1221"/>
      <c r="B1550" s="1221">
        <v>27</v>
      </c>
      <c r="C1550" s="1229" t="s">
        <v>1153</v>
      </c>
      <c r="D1550" s="1223">
        <v>0</v>
      </c>
      <c r="E1550" s="1243" t="str">
        <f>IF(A1550&gt;0,D1550,"No")</f>
        <v>No</v>
      </c>
    </row>
    <row r="1551" spans="1:5" ht="12.75">
      <c r="A1551" s="1221">
        <v>551000</v>
      </c>
      <c r="B1551" s="1221" t="s">
        <v>972</v>
      </c>
      <c r="C1551" s="1222" t="s">
        <v>259</v>
      </c>
      <c r="D1551" s="1223">
        <v>0</v>
      </c>
      <c r="E1551" s="1244">
        <f>SUM(D1552:D1562)</f>
        <v>359011.68</v>
      </c>
    </row>
    <row r="1552" spans="1:5" ht="12.75">
      <c r="A1552" s="1221"/>
      <c r="B1552" s="1221">
        <v>25</v>
      </c>
      <c r="C1552" s="1229" t="s">
        <v>1176</v>
      </c>
      <c r="D1552" s="1223">
        <v>229635.01</v>
      </c>
      <c r="E1552" s="1243" t="str">
        <f aca="true" t="shared" si="57" ref="E1552:E1562">IF(A1552&gt;0,D1552,"No")</f>
        <v>No</v>
      </c>
    </row>
    <row r="1553" spans="1:5" ht="12.75">
      <c r="A1553" s="1221"/>
      <c r="B1553" s="1221">
        <v>26</v>
      </c>
      <c r="C1553" s="1229" t="s">
        <v>407</v>
      </c>
      <c r="D1553" s="1223">
        <v>0</v>
      </c>
      <c r="E1553" s="1243" t="str">
        <f t="shared" si="57"/>
        <v>No</v>
      </c>
    </row>
    <row r="1554" spans="1:5" ht="12.75">
      <c r="A1554" s="1221"/>
      <c r="B1554" s="1221">
        <v>27</v>
      </c>
      <c r="C1554" s="1229" t="s">
        <v>1153</v>
      </c>
      <c r="D1554" s="1223">
        <v>110487.67</v>
      </c>
      <c r="E1554" s="1243" t="str">
        <f t="shared" si="57"/>
        <v>No</v>
      </c>
    </row>
    <row r="1555" spans="1:5" ht="12.75">
      <c r="A1555" s="1221"/>
      <c r="B1555" s="1221">
        <v>28</v>
      </c>
      <c r="C1555" s="1229" t="s">
        <v>1178</v>
      </c>
      <c r="D1555" s="1223">
        <v>0</v>
      </c>
      <c r="E1555" s="1243" t="str">
        <f t="shared" si="57"/>
        <v>No</v>
      </c>
    </row>
    <row r="1556" spans="1:5" ht="12.75">
      <c r="A1556" s="1221"/>
      <c r="B1556" s="1221">
        <v>29</v>
      </c>
      <c r="C1556" s="1229" t="s">
        <v>1182</v>
      </c>
      <c r="D1556" s="1223">
        <v>119</v>
      </c>
      <c r="E1556" s="1243" t="str">
        <f t="shared" si="57"/>
        <v>No</v>
      </c>
    </row>
    <row r="1557" spans="1:5" ht="12.75">
      <c r="A1557" s="1221"/>
      <c r="B1557" s="1221">
        <v>31</v>
      </c>
      <c r="C1557" s="1229" t="s">
        <v>1179</v>
      </c>
      <c r="D1557" s="1223">
        <v>18500</v>
      </c>
      <c r="E1557" s="1243" t="str">
        <f t="shared" si="57"/>
        <v>No</v>
      </c>
    </row>
    <row r="1558" spans="1:5" ht="12.75">
      <c r="A1558" s="1221"/>
      <c r="B1558" s="1221">
        <v>33</v>
      </c>
      <c r="C1558" s="1229" t="s">
        <v>1183</v>
      </c>
      <c r="D1558" s="1223">
        <v>0</v>
      </c>
      <c r="E1558" s="1243" t="str">
        <f t="shared" si="57"/>
        <v>No</v>
      </c>
    </row>
    <row r="1559" spans="1:5" ht="12.75">
      <c r="A1559" s="1221"/>
      <c r="B1559" s="1221">
        <v>34</v>
      </c>
      <c r="C1559" s="1229" t="s">
        <v>1173</v>
      </c>
      <c r="D1559" s="1223">
        <v>0</v>
      </c>
      <c r="E1559" s="1243" t="str">
        <f t="shared" si="57"/>
        <v>No</v>
      </c>
    </row>
    <row r="1560" spans="1:5" ht="12.75">
      <c r="A1560" s="1221"/>
      <c r="B1560" s="1221">
        <v>35</v>
      </c>
      <c r="C1560" s="1229" t="s">
        <v>408</v>
      </c>
      <c r="D1560" s="1223">
        <v>270</v>
      </c>
      <c r="E1560" s="1243" t="str">
        <f t="shared" si="57"/>
        <v>No</v>
      </c>
    </row>
    <row r="1561" spans="1:5" ht="12.75">
      <c r="A1561" s="1225"/>
      <c r="B1561" s="1225">
        <v>36</v>
      </c>
      <c r="C1561" s="1241" t="s">
        <v>409</v>
      </c>
      <c r="D1561" s="1227">
        <v>0</v>
      </c>
      <c r="E1561" s="1243" t="str">
        <f t="shared" si="57"/>
        <v>No</v>
      </c>
    </row>
    <row r="1562" spans="1:5" ht="12.75">
      <c r="A1562" s="1225"/>
      <c r="B1562" s="1225">
        <v>37</v>
      </c>
      <c r="C1562" s="1241" t="s">
        <v>414</v>
      </c>
      <c r="D1562" s="1227">
        <v>0</v>
      </c>
      <c r="E1562" s="1243" t="str">
        <f t="shared" si="57"/>
        <v>No</v>
      </c>
    </row>
    <row r="1563" spans="1:5" ht="12.75">
      <c r="A1563" s="1225">
        <v>551100</v>
      </c>
      <c r="B1563" s="1225" t="s">
        <v>972</v>
      </c>
      <c r="C1563" s="1226" t="s">
        <v>461</v>
      </c>
      <c r="D1563" s="1227">
        <v>0</v>
      </c>
      <c r="E1563" s="1279">
        <f>SUM(D1564:D1566)</f>
        <v>-382403.47</v>
      </c>
    </row>
    <row r="1564" spans="1:5" ht="12.75">
      <c r="A1564" s="1225"/>
      <c r="B1564" s="1225">
        <v>27</v>
      </c>
      <c r="C1564" s="1241" t="s">
        <v>1153</v>
      </c>
      <c r="D1564" s="1227">
        <v>0</v>
      </c>
      <c r="E1564" s="1280" t="str">
        <f>IF(A1564&gt;0,D1564,"No")</f>
        <v>No</v>
      </c>
    </row>
    <row r="1565" spans="1:5" ht="12.75">
      <c r="A1565" s="1225"/>
      <c r="B1565" s="1225">
        <v>28</v>
      </c>
      <c r="C1565" s="1241" t="s">
        <v>1178</v>
      </c>
      <c r="D1565" s="1227">
        <v>0</v>
      </c>
      <c r="E1565" s="1280" t="str">
        <f>IF(A1565&gt;0,D1565,"No")</f>
        <v>No</v>
      </c>
    </row>
    <row r="1566" spans="1:5" ht="12.75">
      <c r="A1566" s="1225"/>
      <c r="B1566" s="1225">
        <v>29</v>
      </c>
      <c r="C1566" s="1241" t="s">
        <v>1182</v>
      </c>
      <c r="D1566" s="1227">
        <v>-382403.47</v>
      </c>
      <c r="E1566" s="1280" t="str">
        <f>IF(A1566&gt;0,D1566,"No")</f>
        <v>No</v>
      </c>
    </row>
    <row r="1567" spans="1:5" ht="12.75">
      <c r="A1567" s="1225">
        <v>551101</v>
      </c>
      <c r="B1567" s="1225" t="s">
        <v>972</v>
      </c>
      <c r="C1567" s="1226" t="s">
        <v>462</v>
      </c>
      <c r="D1567" s="1227">
        <v>0</v>
      </c>
      <c r="E1567" s="1244">
        <f>SUM(D1568:D1569)</f>
        <v>0</v>
      </c>
    </row>
    <row r="1568" spans="1:5" ht="12.75">
      <c r="A1568" s="1225"/>
      <c r="B1568" s="1225">
        <v>27</v>
      </c>
      <c r="C1568" s="1241" t="s">
        <v>1153</v>
      </c>
      <c r="D1568" s="1227">
        <v>0</v>
      </c>
      <c r="E1568" s="1243" t="str">
        <f>IF(A1568&gt;0,D1568,"No")</f>
        <v>No</v>
      </c>
    </row>
    <row r="1569" spans="1:5" ht="12.75">
      <c r="A1569" s="1225"/>
      <c r="B1569" s="1225">
        <v>28</v>
      </c>
      <c r="C1569" s="1241" t="s">
        <v>1178</v>
      </c>
      <c r="D1569" s="1227">
        <v>0</v>
      </c>
      <c r="E1569" s="1243" t="str">
        <f>IF(A1569&gt;0,D1569,"No")</f>
        <v>No</v>
      </c>
    </row>
    <row r="1570" spans="1:5" ht="12.75">
      <c r="A1570" s="1225">
        <v>551110</v>
      </c>
      <c r="B1570" s="1225" t="s">
        <v>972</v>
      </c>
      <c r="C1570" s="1226" t="s">
        <v>463</v>
      </c>
      <c r="D1570" s="1227">
        <v>0</v>
      </c>
      <c r="E1570" s="1244">
        <f>SUM(D1571:D1572)</f>
        <v>237220.74</v>
      </c>
    </row>
    <row r="1571" spans="1:5" ht="12.75">
      <c r="A1571" s="1225"/>
      <c r="B1571" s="1225">
        <v>27</v>
      </c>
      <c r="C1571" s="1241" t="s">
        <v>1153</v>
      </c>
      <c r="D1571" s="1227">
        <v>237220.74</v>
      </c>
      <c r="E1571" s="1243" t="str">
        <f>IF(A1571&gt;0,D1571,"No")</f>
        <v>No</v>
      </c>
    </row>
    <row r="1572" spans="1:5" ht="12.75">
      <c r="A1572" s="1225"/>
      <c r="B1572" s="1225">
        <v>34</v>
      </c>
      <c r="C1572" s="1241" t="s">
        <v>1173</v>
      </c>
      <c r="D1572" s="1227">
        <v>0</v>
      </c>
      <c r="E1572" s="1243" t="str">
        <f>IF(A1572&gt;0,D1572,"No")</f>
        <v>No</v>
      </c>
    </row>
    <row r="1573" spans="1:5" ht="12.75">
      <c r="A1573" s="1225">
        <v>551111</v>
      </c>
      <c r="B1573" s="1225" t="s">
        <v>972</v>
      </c>
      <c r="C1573" s="1226" t="s">
        <v>464</v>
      </c>
      <c r="D1573" s="1227">
        <v>0</v>
      </c>
      <c r="E1573" s="1244">
        <f>SUM(D1574)</f>
        <v>0</v>
      </c>
    </row>
    <row r="1574" spans="1:5" ht="12.75">
      <c r="A1574" s="1225"/>
      <c r="B1574" s="1225">
        <v>27</v>
      </c>
      <c r="C1574" s="1241" t="s">
        <v>1153</v>
      </c>
      <c r="D1574" s="1227">
        <v>0</v>
      </c>
      <c r="E1574" s="1243" t="str">
        <f>IF(A1574&gt;0,D1574,"No")</f>
        <v>No</v>
      </c>
    </row>
    <row r="1575" spans="1:5" ht="12.75">
      <c r="A1575" s="1225">
        <v>551112</v>
      </c>
      <c r="B1575" s="1225" t="s">
        <v>972</v>
      </c>
      <c r="C1575" s="1226" t="s">
        <v>465</v>
      </c>
      <c r="D1575" s="1227">
        <v>0</v>
      </c>
      <c r="E1575" s="1244">
        <f>SUM(D1576)</f>
        <v>54106.61</v>
      </c>
    </row>
    <row r="1576" spans="1:5" ht="12.75">
      <c r="A1576" s="1225"/>
      <c r="B1576" s="1225">
        <v>27</v>
      </c>
      <c r="C1576" s="1241" t="s">
        <v>1153</v>
      </c>
      <c r="D1576" s="1227">
        <v>54106.61</v>
      </c>
      <c r="E1576" s="1243" t="str">
        <f>IF(A1576&gt;0,D1576,"No")</f>
        <v>No</v>
      </c>
    </row>
    <row r="1577" spans="1:5" ht="12.75">
      <c r="A1577" s="1221">
        <v>551120</v>
      </c>
      <c r="B1577" s="1221" t="s">
        <v>972</v>
      </c>
      <c r="C1577" s="1222" t="s">
        <v>466</v>
      </c>
      <c r="D1577" s="1223">
        <v>0</v>
      </c>
      <c r="E1577" s="1244">
        <f>SUM(D1578:D1580)</f>
        <v>121278.45999999999</v>
      </c>
    </row>
    <row r="1578" spans="1:5" ht="12.75">
      <c r="A1578" s="1221"/>
      <c r="B1578" s="1221">
        <v>28</v>
      </c>
      <c r="C1578" s="1229" t="s">
        <v>1178</v>
      </c>
      <c r="D1578" s="1223">
        <v>12672.96</v>
      </c>
      <c r="E1578" s="1243" t="str">
        <f>IF(A1578&gt;0,D1578,"No")</f>
        <v>No</v>
      </c>
    </row>
    <row r="1579" spans="1:5" ht="12.75">
      <c r="A1579" s="1221"/>
      <c r="B1579" s="1221">
        <v>29</v>
      </c>
      <c r="C1579" s="1229" t="s">
        <v>1182</v>
      </c>
      <c r="D1579" s="1223">
        <v>108605.5</v>
      </c>
      <c r="E1579" s="1243" t="str">
        <f>IF(A1579&gt;0,D1579,"No")</f>
        <v>No</v>
      </c>
    </row>
    <row r="1580" spans="1:5" ht="12.75">
      <c r="A1580" s="1221"/>
      <c r="B1580" s="1221">
        <v>34</v>
      </c>
      <c r="C1580" s="1229" t="s">
        <v>1173</v>
      </c>
      <c r="D1580" s="1223">
        <v>0</v>
      </c>
      <c r="E1580" s="1243" t="str">
        <f>IF(A1580&gt;0,D1580,"No")</f>
        <v>No</v>
      </c>
    </row>
    <row r="1581" spans="1:5" ht="12.75">
      <c r="A1581" s="1221">
        <v>551130</v>
      </c>
      <c r="B1581" s="1221" t="s">
        <v>972</v>
      </c>
      <c r="C1581" s="1222" t="s">
        <v>467</v>
      </c>
      <c r="D1581" s="1223">
        <v>0</v>
      </c>
      <c r="E1581" s="1244">
        <f>SUM(D1582)</f>
        <v>0</v>
      </c>
    </row>
    <row r="1582" spans="1:5" ht="12.75">
      <c r="A1582" s="1221"/>
      <c r="B1582" s="1221">
        <v>27</v>
      </c>
      <c r="C1582" s="1229" t="s">
        <v>1153</v>
      </c>
      <c r="D1582" s="1223">
        <v>0</v>
      </c>
      <c r="E1582" s="1243" t="str">
        <f>IF(A1582&gt;0,D1582,"No")</f>
        <v>No</v>
      </c>
    </row>
    <row r="1583" spans="1:5" ht="12.75">
      <c r="A1583" s="1221">
        <v>551140</v>
      </c>
      <c r="B1583" s="1221" t="s">
        <v>972</v>
      </c>
      <c r="C1583" s="1222" t="s">
        <v>235</v>
      </c>
      <c r="D1583" s="1223">
        <v>0</v>
      </c>
      <c r="E1583" s="1244">
        <f>SUM(D1584)</f>
        <v>354143.43</v>
      </c>
    </row>
    <row r="1584" spans="1:5" ht="12.75">
      <c r="A1584" s="1221"/>
      <c r="B1584" s="1221">
        <v>27</v>
      </c>
      <c r="C1584" s="1229" t="s">
        <v>1153</v>
      </c>
      <c r="D1584" s="1223">
        <v>354143.43</v>
      </c>
      <c r="E1584" s="1243" t="str">
        <f>IF(A1584&gt;0,D1584,"No")</f>
        <v>No</v>
      </c>
    </row>
    <row r="1585" spans="1:5" ht="12.75">
      <c r="A1585" s="1221">
        <v>551141</v>
      </c>
      <c r="B1585" s="1221" t="s">
        <v>972</v>
      </c>
      <c r="C1585" s="1222" t="s">
        <v>236</v>
      </c>
      <c r="D1585" s="1223">
        <v>0</v>
      </c>
      <c r="E1585" s="1244">
        <f>SUM(D1586)</f>
        <v>2633.49</v>
      </c>
    </row>
    <row r="1586" spans="1:5" ht="12.75">
      <c r="A1586" s="1221"/>
      <c r="B1586" s="1221">
        <v>27</v>
      </c>
      <c r="C1586" s="1229" t="s">
        <v>1153</v>
      </c>
      <c r="D1586" s="1223">
        <v>2633.49</v>
      </c>
      <c r="E1586" s="1281" t="str">
        <f>IF(A1586&gt;0,D1586,"No")</f>
        <v>No</v>
      </c>
    </row>
    <row r="1587" spans="1:5" ht="12.75">
      <c r="A1587" s="1221">
        <v>551150</v>
      </c>
      <c r="B1587" s="1221" t="s">
        <v>972</v>
      </c>
      <c r="C1587" s="1222" t="s">
        <v>468</v>
      </c>
      <c r="D1587" s="1227">
        <v>0</v>
      </c>
      <c r="E1587" s="1282">
        <f>SUM(D1588)</f>
        <v>95683.06</v>
      </c>
    </row>
    <row r="1588" spans="1:5" ht="12.75">
      <c r="A1588" s="1221"/>
      <c r="B1588" s="1221">
        <v>27</v>
      </c>
      <c r="C1588" s="1229" t="s">
        <v>1153</v>
      </c>
      <c r="D1588" s="1227">
        <v>95683.06</v>
      </c>
      <c r="E1588" s="1281" t="str">
        <f>IF(A1588&gt;0,D1588,"No")</f>
        <v>No</v>
      </c>
    </row>
    <row r="1589" spans="1:5" ht="12.75">
      <c r="A1589" s="1221">
        <v>551160</v>
      </c>
      <c r="B1589" s="1221" t="s">
        <v>972</v>
      </c>
      <c r="C1589" s="1222" t="s">
        <v>469</v>
      </c>
      <c r="D1589" s="1227">
        <v>0</v>
      </c>
      <c r="E1589" s="1282">
        <f>SUM(D1590)</f>
        <v>0</v>
      </c>
    </row>
    <row r="1590" spans="1:5" ht="12.75">
      <c r="A1590" s="1221"/>
      <c r="B1590" s="1221">
        <v>27</v>
      </c>
      <c r="C1590" s="1229" t="s">
        <v>1153</v>
      </c>
      <c r="D1590" s="1227">
        <v>0</v>
      </c>
      <c r="E1590" s="1281" t="str">
        <f>IF(A1590&gt;0,D1590,"No")</f>
        <v>No</v>
      </c>
    </row>
    <row r="1591" spans="1:5" ht="12.75">
      <c r="A1591" s="1221">
        <v>551170</v>
      </c>
      <c r="B1591" s="1221" t="s">
        <v>972</v>
      </c>
      <c r="C1591" s="1222" t="s">
        <v>470</v>
      </c>
      <c r="D1591" s="1227">
        <v>0</v>
      </c>
      <c r="E1591" s="1282">
        <f>SUM(D1592)</f>
        <v>213812.7</v>
      </c>
    </row>
    <row r="1592" spans="1:5" ht="12.75">
      <c r="A1592" s="1221"/>
      <c r="B1592" s="1221">
        <v>27</v>
      </c>
      <c r="C1592" s="1229" t="s">
        <v>1153</v>
      </c>
      <c r="D1592" s="1227">
        <v>213812.7</v>
      </c>
      <c r="E1592" s="1281" t="str">
        <f>IF(A1592&gt;0,D1592,"No")</f>
        <v>No</v>
      </c>
    </row>
    <row r="1593" spans="1:5" ht="12.75">
      <c r="A1593" s="1221">
        <v>551180</v>
      </c>
      <c r="B1593" s="1221" t="s">
        <v>972</v>
      </c>
      <c r="C1593" s="1222" t="s">
        <v>241</v>
      </c>
      <c r="D1593" s="1227">
        <v>0</v>
      </c>
      <c r="E1593" s="1244">
        <f>SUM(D1594:D1595)</f>
        <v>205980.91</v>
      </c>
    </row>
    <row r="1594" spans="1:5" ht="12.75">
      <c r="A1594" s="1221"/>
      <c r="B1594" s="1221">
        <v>25</v>
      </c>
      <c r="C1594" s="1229" t="s">
        <v>1176</v>
      </c>
      <c r="D1594" s="1227">
        <v>34435</v>
      </c>
      <c r="E1594" s="1243" t="str">
        <f>IF(A1594&gt;0,D1594,"No")</f>
        <v>No</v>
      </c>
    </row>
    <row r="1595" spans="1:5" ht="12.75">
      <c r="A1595" s="1221"/>
      <c r="B1595" s="1221">
        <v>31</v>
      </c>
      <c r="C1595" s="1229" t="s">
        <v>1179</v>
      </c>
      <c r="D1595" s="1223">
        <v>171545.91</v>
      </c>
      <c r="E1595" s="1243" t="str">
        <f>IF(A1595&gt;0,D1595,"No")</f>
        <v>No</v>
      </c>
    </row>
    <row r="1596" spans="1:5" ht="12.75">
      <c r="A1596" s="1221">
        <v>551181</v>
      </c>
      <c r="B1596" s="1221" t="s">
        <v>972</v>
      </c>
      <c r="C1596" s="1222" t="s">
        <v>471</v>
      </c>
      <c r="D1596" s="1223">
        <v>0</v>
      </c>
      <c r="E1596" s="1244">
        <f>SUM(D1597:D1609)</f>
        <v>270849.57999999996</v>
      </c>
    </row>
    <row r="1597" spans="1:5" ht="12.75">
      <c r="A1597" s="1221"/>
      <c r="B1597" s="1221">
        <v>1</v>
      </c>
      <c r="C1597" s="1229" t="s">
        <v>212</v>
      </c>
      <c r="D1597" s="1223">
        <v>0</v>
      </c>
      <c r="E1597" s="1243" t="str">
        <f aca="true" t="shared" si="58" ref="E1597:E1609">IF(A1597&gt;0,D1597,"No")</f>
        <v>No</v>
      </c>
    </row>
    <row r="1598" spans="1:5" ht="12.75">
      <c r="A1598" s="1221"/>
      <c r="B1598" s="1221">
        <v>13</v>
      </c>
      <c r="C1598" s="1229" t="s">
        <v>214</v>
      </c>
      <c r="D1598" s="1223">
        <v>0</v>
      </c>
      <c r="E1598" s="1243" t="str">
        <f t="shared" si="58"/>
        <v>No</v>
      </c>
    </row>
    <row r="1599" spans="1:5" ht="12.75">
      <c r="A1599" s="1221"/>
      <c r="B1599" s="1221">
        <v>17</v>
      </c>
      <c r="C1599" s="1229" t="s">
        <v>1168</v>
      </c>
      <c r="D1599" s="1223">
        <v>0</v>
      </c>
      <c r="E1599" s="1243" t="str">
        <f t="shared" si="58"/>
        <v>No</v>
      </c>
    </row>
    <row r="1600" spans="1:5" ht="12.75">
      <c r="A1600" s="1221"/>
      <c r="B1600" s="1221">
        <v>18</v>
      </c>
      <c r="C1600" s="1229" t="s">
        <v>1172</v>
      </c>
      <c r="D1600" s="1223">
        <v>0</v>
      </c>
      <c r="E1600" s="1243" t="str">
        <f t="shared" si="58"/>
        <v>No</v>
      </c>
    </row>
    <row r="1601" spans="1:5" ht="12.75">
      <c r="A1601" s="1221"/>
      <c r="B1601" s="1221">
        <v>25</v>
      </c>
      <c r="C1601" s="1229" t="s">
        <v>1176</v>
      </c>
      <c r="D1601" s="1223">
        <v>62820</v>
      </c>
      <c r="E1601" s="1243" t="str">
        <f t="shared" si="58"/>
        <v>No</v>
      </c>
    </row>
    <row r="1602" spans="1:5" ht="12.75">
      <c r="A1602" s="1221"/>
      <c r="B1602" s="1221">
        <v>26</v>
      </c>
      <c r="C1602" s="1229" t="s">
        <v>407</v>
      </c>
      <c r="D1602" s="1223">
        <v>3699.56</v>
      </c>
      <c r="E1602" s="1243" t="str">
        <f t="shared" si="58"/>
        <v>No</v>
      </c>
    </row>
    <row r="1603" spans="1:5" ht="12.75">
      <c r="A1603" s="1221"/>
      <c r="B1603" s="1221">
        <v>27</v>
      </c>
      <c r="C1603" s="1229" t="s">
        <v>1153</v>
      </c>
      <c r="D1603" s="1223">
        <v>189641.02</v>
      </c>
      <c r="E1603" s="1243" t="str">
        <f t="shared" si="58"/>
        <v>No</v>
      </c>
    </row>
    <row r="1604" spans="1:5" ht="12.75">
      <c r="A1604" s="1221"/>
      <c r="B1604" s="1221">
        <v>28</v>
      </c>
      <c r="C1604" s="1229" t="s">
        <v>1178</v>
      </c>
      <c r="D1604" s="1223">
        <v>0</v>
      </c>
      <c r="E1604" s="1243" t="str">
        <f t="shared" si="58"/>
        <v>No</v>
      </c>
    </row>
    <row r="1605" spans="1:5" ht="12.75">
      <c r="A1605" s="1221"/>
      <c r="B1605" s="1221">
        <v>29</v>
      </c>
      <c r="C1605" s="1229" t="s">
        <v>1182</v>
      </c>
      <c r="D1605" s="1223">
        <v>0</v>
      </c>
      <c r="E1605" s="1243" t="str">
        <f t="shared" si="58"/>
        <v>No</v>
      </c>
    </row>
    <row r="1606" spans="1:5" ht="12.75">
      <c r="A1606" s="1221"/>
      <c r="B1606" s="1221">
        <v>31</v>
      </c>
      <c r="C1606" s="1229" t="s">
        <v>1179</v>
      </c>
      <c r="D1606" s="1223">
        <v>1920</v>
      </c>
      <c r="E1606" s="1243" t="str">
        <f t="shared" si="58"/>
        <v>No</v>
      </c>
    </row>
    <row r="1607" spans="1:5" ht="12.75">
      <c r="A1607" s="1221"/>
      <c r="B1607" s="1221">
        <v>34</v>
      </c>
      <c r="C1607" s="1229" t="s">
        <v>1173</v>
      </c>
      <c r="D1607" s="1223">
        <v>0</v>
      </c>
      <c r="E1607" s="1243" t="str">
        <f t="shared" si="58"/>
        <v>No</v>
      </c>
    </row>
    <row r="1608" spans="1:5" ht="12.75">
      <c r="A1608" s="1221"/>
      <c r="B1608" s="1221">
        <v>35</v>
      </c>
      <c r="C1608" s="1229" t="s">
        <v>408</v>
      </c>
      <c r="D1608" s="1223">
        <v>0</v>
      </c>
      <c r="E1608" s="1243" t="str">
        <f t="shared" si="58"/>
        <v>No</v>
      </c>
    </row>
    <row r="1609" spans="1:5" ht="12.75">
      <c r="A1609" s="1221"/>
      <c r="B1609" s="1221">
        <v>37</v>
      </c>
      <c r="C1609" s="1229" t="s">
        <v>414</v>
      </c>
      <c r="D1609" s="1223">
        <v>12769</v>
      </c>
      <c r="E1609" s="1243" t="str">
        <f t="shared" si="58"/>
        <v>No</v>
      </c>
    </row>
    <row r="1610" spans="1:5" ht="12.75">
      <c r="A1610" s="1225">
        <v>551182</v>
      </c>
      <c r="B1610" s="1225" t="s">
        <v>972</v>
      </c>
      <c r="C1610" s="1258" t="s">
        <v>975</v>
      </c>
      <c r="D1610" s="1227">
        <v>0</v>
      </c>
      <c r="E1610" s="1244">
        <f>SUM(D1611)</f>
        <v>0</v>
      </c>
    </row>
    <row r="1611" spans="1:5" ht="12.75">
      <c r="A1611" s="1225"/>
      <c r="B1611" s="1225">
        <v>27</v>
      </c>
      <c r="C1611" s="1258" t="s">
        <v>975</v>
      </c>
      <c r="D1611" s="1227">
        <v>0</v>
      </c>
      <c r="E1611" s="1243" t="str">
        <f>IF(A1611&gt;0,D1611,"No")</f>
        <v>No</v>
      </c>
    </row>
    <row r="1612" spans="1:5" ht="12.75">
      <c r="A1612" s="1225">
        <v>551183</v>
      </c>
      <c r="B1612" s="1225" t="s">
        <v>972</v>
      </c>
      <c r="C1612" s="1253" t="s">
        <v>21</v>
      </c>
      <c r="D1612" s="1227">
        <v>0</v>
      </c>
      <c r="E1612" s="1244">
        <f>SUM(D1613)</f>
        <v>0</v>
      </c>
    </row>
    <row r="1613" spans="1:5" ht="12.75">
      <c r="A1613" s="1225"/>
      <c r="B1613" s="1225">
        <v>27</v>
      </c>
      <c r="C1613" s="1241" t="s">
        <v>1153</v>
      </c>
      <c r="D1613" s="1227">
        <v>0</v>
      </c>
      <c r="E1613" s="1243" t="str">
        <f>IF(A1613&gt;0,D1613,"No")</f>
        <v>No</v>
      </c>
    </row>
    <row r="1614" spans="1:5" ht="12.75">
      <c r="A1614" s="1225">
        <v>551184</v>
      </c>
      <c r="B1614" s="1225" t="s">
        <v>972</v>
      </c>
      <c r="C1614" s="1253" t="s">
        <v>741</v>
      </c>
      <c r="D1614" s="1227">
        <v>0</v>
      </c>
      <c r="E1614" s="1244">
        <f>SUM(D1615)</f>
        <v>65997.75</v>
      </c>
    </row>
    <row r="1615" spans="1:5" ht="12.75">
      <c r="A1615" s="1225"/>
      <c r="B1615" s="1225">
        <v>40</v>
      </c>
      <c r="C1615" s="1241" t="s">
        <v>1072</v>
      </c>
      <c r="D1615" s="1227">
        <v>65997.75</v>
      </c>
      <c r="E1615" s="1243" t="str">
        <f>IF(A1615&gt;0,D1615,"No")</f>
        <v>No</v>
      </c>
    </row>
    <row r="1616" spans="1:5" ht="12.75">
      <c r="A1616" s="1230">
        <v>551190</v>
      </c>
      <c r="B1616" s="1230" t="s">
        <v>972</v>
      </c>
      <c r="C1616" s="1231" t="s">
        <v>1024</v>
      </c>
      <c r="D1616" s="1232">
        <v>0</v>
      </c>
      <c r="E1616" s="1279">
        <f>SUM(D1617:D1619)</f>
        <v>-386414.97</v>
      </c>
    </row>
    <row r="1617" spans="1:5" ht="12.75">
      <c r="A1617" s="1230"/>
      <c r="B1617" s="1230">
        <v>27</v>
      </c>
      <c r="C1617" s="1233" t="s">
        <v>1153</v>
      </c>
      <c r="D1617" s="1232">
        <v>0</v>
      </c>
      <c r="E1617" s="1280" t="str">
        <f>IF(A1617&gt;0,D1617,"No")</f>
        <v>No</v>
      </c>
    </row>
    <row r="1618" spans="1:5" ht="12.75">
      <c r="A1618" s="1230"/>
      <c r="B1618" s="1230">
        <v>30</v>
      </c>
      <c r="C1618" s="1233" t="s">
        <v>1071</v>
      </c>
      <c r="D1618" s="1259">
        <v>539020.35</v>
      </c>
      <c r="E1618" s="1280" t="str">
        <f>IF(A1618&gt;0,D1618,"No")</f>
        <v>No</v>
      </c>
    </row>
    <row r="1619" spans="1:5" ht="12.75">
      <c r="A1619" s="1230"/>
      <c r="B1619" s="1230">
        <v>40</v>
      </c>
      <c r="C1619" s="1233" t="s">
        <v>1072</v>
      </c>
      <c r="D1619" s="1259">
        <v>-925435.32</v>
      </c>
      <c r="E1619" s="1280" t="str">
        <f>IF(A1619&gt;0,D1619,"No")</f>
        <v>No</v>
      </c>
    </row>
    <row r="1620" spans="1:5" ht="12.75">
      <c r="A1620" s="1225">
        <v>551200</v>
      </c>
      <c r="B1620" s="1225" t="s">
        <v>972</v>
      </c>
      <c r="C1620" s="1226" t="s">
        <v>472</v>
      </c>
      <c r="D1620" s="1227">
        <v>0</v>
      </c>
      <c r="E1620" s="1244">
        <f>SUM(D1621:D1622)</f>
        <v>308336.82</v>
      </c>
    </row>
    <row r="1621" spans="1:5" ht="12.75">
      <c r="A1621" s="1225"/>
      <c r="B1621" s="1225">
        <v>25</v>
      </c>
      <c r="C1621" s="1241" t="s">
        <v>1176</v>
      </c>
      <c r="D1621" s="1227">
        <v>261148.82</v>
      </c>
      <c r="E1621" s="1281" t="str">
        <f>IF(A1621&gt;0,D1621,"No")</f>
        <v>No</v>
      </c>
    </row>
    <row r="1622" spans="1:5" ht="12.75">
      <c r="A1622" s="1225"/>
      <c r="B1622" s="1225">
        <v>28</v>
      </c>
      <c r="C1622" s="1241" t="s">
        <v>1178</v>
      </c>
      <c r="D1622" s="1227">
        <v>47188</v>
      </c>
      <c r="E1622" s="1281" t="str">
        <f>IF(A1622&gt;0,D1622,"No")</f>
        <v>No</v>
      </c>
    </row>
    <row r="1623" spans="1:5" ht="12.75">
      <c r="A1623" s="1225">
        <v>551201</v>
      </c>
      <c r="B1623" s="1225" t="s">
        <v>972</v>
      </c>
      <c r="C1623" s="1226" t="s">
        <v>473</v>
      </c>
      <c r="D1623" s="1227">
        <v>0</v>
      </c>
      <c r="E1623" s="1282">
        <f>SUM(D1624)</f>
        <v>0</v>
      </c>
    </row>
    <row r="1624" spans="1:5" ht="12.75">
      <c r="A1624" s="1225"/>
      <c r="B1624" s="1225">
        <v>27</v>
      </c>
      <c r="C1624" s="1241" t="s">
        <v>1153</v>
      </c>
      <c r="D1624" s="1227">
        <v>0</v>
      </c>
      <c r="E1624" s="1281" t="str">
        <f>IF(A1624&gt;0,D1624,"No")</f>
        <v>No</v>
      </c>
    </row>
    <row r="1625" spans="1:5" ht="12.75">
      <c r="A1625" s="1221">
        <v>560000</v>
      </c>
      <c r="B1625" s="1221" t="s">
        <v>972</v>
      </c>
      <c r="C1625" s="1222" t="s">
        <v>474</v>
      </c>
      <c r="D1625" s="1223">
        <v>0</v>
      </c>
      <c r="E1625" s="1281">
        <f>IF(A1625&gt;0,D1625,"No")</f>
        <v>0</v>
      </c>
    </row>
    <row r="1626" spans="1:5" ht="12.75">
      <c r="A1626" s="1221">
        <v>560110</v>
      </c>
      <c r="B1626" s="1221" t="s">
        <v>972</v>
      </c>
      <c r="C1626" s="1222" t="s">
        <v>475</v>
      </c>
      <c r="D1626" s="1223">
        <v>0</v>
      </c>
      <c r="E1626" s="1282">
        <f>SUM(D1627)</f>
        <v>0</v>
      </c>
    </row>
    <row r="1627" spans="1:5" ht="12.75">
      <c r="A1627" s="1221"/>
      <c r="B1627" s="1221">
        <v>27</v>
      </c>
      <c r="C1627" s="1229" t="s">
        <v>1153</v>
      </c>
      <c r="D1627" s="1223">
        <v>0</v>
      </c>
      <c r="E1627" s="1281" t="str">
        <f>IF(A1627&gt;0,D1627,"No")</f>
        <v>No</v>
      </c>
    </row>
    <row r="1628" spans="1:5" ht="12.75">
      <c r="A1628" s="1221">
        <v>560120</v>
      </c>
      <c r="B1628" s="1221" t="s">
        <v>972</v>
      </c>
      <c r="C1628" s="1222" t="s">
        <v>476</v>
      </c>
      <c r="D1628" s="1223">
        <v>0</v>
      </c>
      <c r="E1628" s="1282">
        <f>SUM(D1629:D1631)</f>
        <v>48741.2</v>
      </c>
    </row>
    <row r="1629" spans="1:5" ht="12.75">
      <c r="A1629" s="1221"/>
      <c r="B1629" s="1221">
        <v>18</v>
      </c>
      <c r="C1629" s="1229" t="s">
        <v>1172</v>
      </c>
      <c r="D1629" s="1223">
        <v>0</v>
      </c>
      <c r="E1629" s="1281" t="str">
        <f>IF(A1629&gt;0,D1629,"No")</f>
        <v>No</v>
      </c>
    </row>
    <row r="1630" spans="1:5" ht="12.75">
      <c r="A1630" s="1221"/>
      <c r="B1630" s="1221">
        <v>27</v>
      </c>
      <c r="C1630" s="1229" t="s">
        <v>1153</v>
      </c>
      <c r="D1630" s="1223">
        <v>48741.2</v>
      </c>
      <c r="E1630" s="1281" t="str">
        <f>IF(A1630&gt;0,D1630,"No")</f>
        <v>No</v>
      </c>
    </row>
    <row r="1631" spans="1:5" ht="12.75">
      <c r="A1631" s="1221"/>
      <c r="B1631" s="1221">
        <v>34</v>
      </c>
      <c r="C1631" s="1229" t="s">
        <v>1173</v>
      </c>
      <c r="D1631" s="1223">
        <v>0</v>
      </c>
      <c r="E1631" s="1281" t="str">
        <f>IF(A1631&gt;0,D1631,"No")</f>
        <v>No</v>
      </c>
    </row>
    <row r="1632" spans="1:5" ht="12.75">
      <c r="A1632" s="1221">
        <v>560130</v>
      </c>
      <c r="B1632" s="1221" t="s">
        <v>972</v>
      </c>
      <c r="C1632" s="1222" t="s">
        <v>477</v>
      </c>
      <c r="D1632" s="1223">
        <v>0</v>
      </c>
      <c r="E1632" s="1282">
        <f>SUM(D1633)</f>
        <v>0</v>
      </c>
    </row>
    <row r="1633" spans="1:5" ht="12.75">
      <c r="A1633" s="1221"/>
      <c r="B1633" s="1221">
        <v>27</v>
      </c>
      <c r="C1633" s="1229" t="s">
        <v>1153</v>
      </c>
      <c r="D1633" s="1223">
        <v>0</v>
      </c>
      <c r="E1633" s="1281" t="str">
        <f>IF(A1633&gt;0,D1633,"No")</f>
        <v>No</v>
      </c>
    </row>
    <row r="1634" spans="1:5" ht="12.75">
      <c r="A1634" s="1221">
        <v>560140</v>
      </c>
      <c r="B1634" s="1221" t="s">
        <v>972</v>
      </c>
      <c r="C1634" s="1222" t="s">
        <v>478</v>
      </c>
      <c r="D1634" s="1223">
        <v>0</v>
      </c>
      <c r="E1634" s="1282">
        <f>SUM(D1635)</f>
        <v>0</v>
      </c>
    </row>
    <row r="1635" spans="1:5" ht="12.75">
      <c r="A1635" s="1221"/>
      <c r="B1635" s="1221">
        <v>27</v>
      </c>
      <c r="C1635" s="1229" t="s">
        <v>1153</v>
      </c>
      <c r="D1635" s="1223">
        <v>0</v>
      </c>
      <c r="E1635" s="1281" t="str">
        <f>IF(A1635&gt;0,D1635,"No")</f>
        <v>No</v>
      </c>
    </row>
    <row r="1636" spans="1:5" ht="12.75">
      <c r="A1636" s="1221">
        <v>560150</v>
      </c>
      <c r="B1636" s="1221" t="s">
        <v>972</v>
      </c>
      <c r="C1636" s="1222" t="s">
        <v>479</v>
      </c>
      <c r="D1636" s="1223">
        <v>0</v>
      </c>
      <c r="E1636" s="1282">
        <f>SUM(D1637)</f>
        <v>0</v>
      </c>
    </row>
    <row r="1637" spans="1:5" ht="12.75">
      <c r="A1637" s="1221"/>
      <c r="B1637" s="1221">
        <v>27</v>
      </c>
      <c r="C1637" s="1229" t="s">
        <v>1153</v>
      </c>
      <c r="D1637" s="1223">
        <v>0</v>
      </c>
      <c r="E1637" s="1281" t="str">
        <f>IF(A1637&gt;0,D1637,"No")</f>
        <v>No</v>
      </c>
    </row>
    <row r="1638" spans="1:5" ht="12.75">
      <c r="A1638" s="1221">
        <v>560160</v>
      </c>
      <c r="B1638" s="1221" t="s">
        <v>972</v>
      </c>
      <c r="C1638" s="1222" t="s">
        <v>480</v>
      </c>
      <c r="D1638" s="1223">
        <v>0</v>
      </c>
      <c r="E1638" s="1282">
        <f>SUM(D1639)</f>
        <v>0</v>
      </c>
    </row>
    <row r="1639" spans="1:5" ht="12.75">
      <c r="A1639" s="1221"/>
      <c r="B1639" s="1221">
        <v>27</v>
      </c>
      <c r="C1639" s="1229" t="s">
        <v>1153</v>
      </c>
      <c r="D1639" s="1223">
        <v>0</v>
      </c>
      <c r="E1639" s="1281" t="str">
        <f>IF(A1639&gt;0,D1639,"No")</f>
        <v>No</v>
      </c>
    </row>
    <row r="1640" spans="1:5" ht="12.75">
      <c r="A1640" s="1221">
        <v>560170</v>
      </c>
      <c r="B1640" s="1221" t="s">
        <v>972</v>
      </c>
      <c r="C1640" s="1222" t="s">
        <v>482</v>
      </c>
      <c r="D1640" s="1223">
        <v>0</v>
      </c>
      <c r="E1640" s="1282">
        <f>SUM(D1641)</f>
        <v>0</v>
      </c>
    </row>
    <row r="1641" spans="1:5" ht="12.75">
      <c r="A1641" s="1221"/>
      <c r="B1641" s="1221">
        <v>27</v>
      </c>
      <c r="C1641" s="1229" t="s">
        <v>1153</v>
      </c>
      <c r="D1641" s="1223">
        <v>0</v>
      </c>
      <c r="E1641" s="1281" t="str">
        <f>IF(A1641&gt;0,D1641,"No")</f>
        <v>No</v>
      </c>
    </row>
    <row r="1642" spans="1:5" ht="12.75">
      <c r="A1642" s="1230">
        <v>570000</v>
      </c>
      <c r="B1642" s="1230" t="s">
        <v>972</v>
      </c>
      <c r="C1642" s="1231" t="s">
        <v>483</v>
      </c>
      <c r="D1642" s="1232">
        <v>5645001.486227198</v>
      </c>
      <c r="E1642" s="1281">
        <f>IF(A1642&gt;0,D1642,"No")</f>
        <v>5645001.486227198</v>
      </c>
    </row>
    <row r="1643" spans="1:4" ht="12.75">
      <c r="A1643" s="1221"/>
      <c r="B1643" s="1221"/>
      <c r="C1643" s="1222"/>
      <c r="D1643" s="1223"/>
    </row>
    <row r="1644" spans="1:4" ht="12.75">
      <c r="A1644" s="1260"/>
      <c r="B1644" s="1260"/>
      <c r="C1644" s="1261"/>
      <c r="D1644" s="1262">
        <v>-1.0849907994270325E-06</v>
      </c>
    </row>
    <row r="1645" ht="12.75">
      <c r="E1645" s="1263">
        <f>SUM(E540:E1642)</f>
        <v>-12737242.967232766</v>
      </c>
    </row>
    <row r="1647" ht="12.75">
      <c r="E1647" s="1242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31"/>
  <sheetViews>
    <sheetView workbookViewId="0" topLeftCell="A1">
      <pane xSplit="3" ySplit="6" topLeftCell="D7" activePane="bottomRight" state="frozen"/>
      <selection pane="topLeft" activeCell="G30" sqref="G30"/>
      <selection pane="topRight" activeCell="G30" sqref="G30"/>
      <selection pane="bottomLeft" activeCell="G30" sqref="G30"/>
      <selection pane="bottomRight" activeCell="G30" sqref="G30"/>
    </sheetView>
  </sheetViews>
  <sheetFormatPr defaultColWidth="9.140625" defaultRowHeight="21.75"/>
  <cols>
    <col min="1" max="1" width="7.7109375" style="1" customWidth="1"/>
    <col min="2" max="2" width="7.57421875" style="1" customWidth="1"/>
    <col min="3" max="3" width="9.28125" style="1" customWidth="1"/>
    <col min="4" max="4" width="42.57421875" style="1" customWidth="1"/>
    <col min="5" max="6" width="12.00390625" style="2" bestFit="1" customWidth="1"/>
    <col min="7" max="7" width="11.7109375" style="2" bestFit="1" customWidth="1"/>
    <col min="8" max="8" width="11.140625" style="2" bestFit="1" customWidth="1"/>
    <col min="9" max="9" width="10.28125" style="1522" customWidth="1"/>
    <col min="10" max="11" width="12.421875" style="1" bestFit="1" customWidth="1"/>
    <col min="12" max="16384" width="9.140625" style="1" customWidth="1"/>
  </cols>
  <sheetData>
    <row r="1" spans="1:3" ht="11.25">
      <c r="A1" s="1520" t="s">
        <v>261</v>
      </c>
      <c r="B1" s="1521"/>
      <c r="C1" s="1521"/>
    </row>
    <row r="2" spans="1:3" ht="11.25">
      <c r="A2" s="1523" t="s">
        <v>275</v>
      </c>
      <c r="B2" s="1524"/>
      <c r="C2" s="1524"/>
    </row>
    <row r="3" ht="11.25">
      <c r="A3" s="1525" t="s">
        <v>262</v>
      </c>
    </row>
    <row r="4" spans="1:4" ht="11.25">
      <c r="A4" s="1526"/>
      <c r="B4" s="1527"/>
      <c r="C4" s="1527"/>
      <c r="D4" s="1527"/>
    </row>
    <row r="5" spans="1:9" ht="11.25">
      <c r="A5" s="1528" t="s">
        <v>263</v>
      </c>
      <c r="B5" s="1529" t="s">
        <v>264</v>
      </c>
      <c r="C5" s="1529" t="s">
        <v>265</v>
      </c>
      <c r="D5" s="1529" t="s">
        <v>266</v>
      </c>
      <c r="E5" s="1733" t="s">
        <v>267</v>
      </c>
      <c r="F5" s="1734"/>
      <c r="G5" s="1733" t="s">
        <v>268</v>
      </c>
      <c r="H5" s="1734"/>
      <c r="I5" s="1530"/>
    </row>
    <row r="6" spans="1:9" ht="11.25">
      <c r="A6" s="1531"/>
      <c r="B6" s="1532"/>
      <c r="C6" s="1532" t="s">
        <v>491</v>
      </c>
      <c r="D6" s="1532"/>
      <c r="E6" s="1533" t="s">
        <v>269</v>
      </c>
      <c r="F6" s="1533" t="s">
        <v>270</v>
      </c>
      <c r="G6" s="1533" t="s">
        <v>269</v>
      </c>
      <c r="H6" s="1533" t="s">
        <v>270</v>
      </c>
      <c r="I6" s="1534" t="s">
        <v>271</v>
      </c>
    </row>
    <row r="7" spans="1:9" ht="11.25">
      <c r="A7" s="1535"/>
      <c r="B7" s="1536"/>
      <c r="C7" s="1519"/>
      <c r="D7" s="1537"/>
      <c r="E7" s="1538"/>
      <c r="F7" s="1538"/>
      <c r="G7" s="1539"/>
      <c r="H7" s="1538"/>
      <c r="I7" s="1540"/>
    </row>
    <row r="8" spans="1:9" ht="11.25">
      <c r="A8" s="1541">
        <v>1</v>
      </c>
      <c r="B8" s="796" t="s">
        <v>276</v>
      </c>
      <c r="C8" s="1542">
        <f>'3000'!A19</f>
        <v>115270</v>
      </c>
      <c r="D8" s="1580" t="str">
        <f>'3000'!B19</f>
        <v>Current -  Citibank    Head Office</v>
      </c>
      <c r="E8" s="1543">
        <v>20975595.91</v>
      </c>
      <c r="F8" s="1543"/>
      <c r="G8" s="1305"/>
      <c r="H8" s="1543"/>
      <c r="I8" s="1544" t="s">
        <v>272</v>
      </c>
    </row>
    <row r="9" spans="1:9" ht="11.25">
      <c r="A9" s="1541"/>
      <c r="B9" s="796"/>
      <c r="C9" s="1542" t="str">
        <f>'[20]Note B'!$K$40</f>
        <v>230110-30</v>
      </c>
      <c r="D9" s="1580" t="str">
        <f>'[20]Note B'!$L$40</f>
        <v>AP- Domestic</v>
      </c>
      <c r="E9" s="1543"/>
      <c r="F9" s="1543">
        <v>20775595.91</v>
      </c>
      <c r="G9" s="1305"/>
      <c r="H9" s="1543"/>
      <c r="I9" s="1544"/>
    </row>
    <row r="10" spans="1:9" ht="11.25">
      <c r="A10" s="1541"/>
      <c r="B10" s="796"/>
      <c r="C10" s="1545">
        <f>'[20]Note B'!$K$41</f>
        <v>242190</v>
      </c>
      <c r="D10" s="1580" t="str">
        <f>'[20]Note B'!$L$41</f>
        <v>Accrued Expense- Others</v>
      </c>
      <c r="E10" s="1543"/>
      <c r="F10" s="1543">
        <v>200000</v>
      </c>
      <c r="G10" s="1305"/>
      <c r="H10" s="1543"/>
      <c r="I10" s="1544"/>
    </row>
    <row r="11" spans="1:9" ht="11.25">
      <c r="A11" s="1541"/>
      <c r="B11" s="1546"/>
      <c r="C11" s="1547"/>
      <c r="D11" s="1548"/>
      <c r="E11" s="1543"/>
      <c r="F11" s="1543"/>
      <c r="G11" s="1305"/>
      <c r="H11" s="1543"/>
      <c r="I11" s="1544"/>
    </row>
    <row r="12" spans="1:9" ht="11.25">
      <c r="A12" s="1549"/>
      <c r="B12" s="1550"/>
      <c r="C12" s="1551"/>
      <c r="D12" s="1552" t="s">
        <v>277</v>
      </c>
      <c r="E12" s="1553"/>
      <c r="F12" s="1553"/>
      <c r="G12" s="1554"/>
      <c r="H12" s="1553"/>
      <c r="I12" s="226"/>
    </row>
    <row r="13" spans="1:9" s="336" customFormat="1" ht="11.25">
      <c r="A13" s="1555"/>
      <c r="B13" s="225"/>
      <c r="C13" s="227"/>
      <c r="D13" s="1556"/>
      <c r="E13" s="228"/>
      <c r="F13" s="228"/>
      <c r="G13" s="228"/>
      <c r="H13" s="228"/>
      <c r="I13" s="1544"/>
    </row>
    <row r="14" spans="1:9" s="336" customFormat="1" ht="11.25">
      <c r="A14" s="1555"/>
      <c r="B14" s="225"/>
      <c r="C14" s="227"/>
      <c r="D14" s="1581"/>
      <c r="E14" s="228"/>
      <c r="F14" s="228"/>
      <c r="G14" s="228"/>
      <c r="H14" s="228"/>
      <c r="I14" s="1544"/>
    </row>
    <row r="15" spans="1:9" s="336" customFormat="1" ht="11.25">
      <c r="A15" s="1555"/>
      <c r="B15" s="225"/>
      <c r="C15" s="1557"/>
      <c r="D15" s="227"/>
      <c r="E15" s="228"/>
      <c r="F15" s="228"/>
      <c r="G15" s="228"/>
      <c r="H15" s="228"/>
      <c r="I15" s="1544"/>
    </row>
    <row r="16" spans="1:9" s="336" customFormat="1" ht="11.25">
      <c r="A16" s="1555"/>
      <c r="B16" s="225"/>
      <c r="C16" s="227"/>
      <c r="D16" s="1558"/>
      <c r="E16" s="228"/>
      <c r="F16" s="228"/>
      <c r="G16" s="228"/>
      <c r="H16" s="228"/>
      <c r="I16" s="1544"/>
    </row>
    <row r="17" spans="1:9" s="336" customFormat="1" ht="11.25">
      <c r="A17" s="1559"/>
      <c r="B17" s="226"/>
      <c r="C17" s="1560"/>
      <c r="D17" s="1561"/>
      <c r="E17" s="1553"/>
      <c r="F17" s="1553"/>
      <c r="G17" s="1553"/>
      <c r="H17" s="1553"/>
      <c r="I17" s="1562"/>
    </row>
    <row r="18" spans="1:9" s="336" customFormat="1" ht="11.25">
      <c r="A18" s="1555"/>
      <c r="B18" s="225"/>
      <c r="C18" s="227"/>
      <c r="D18" s="1558"/>
      <c r="E18" s="228"/>
      <c r="F18" s="228"/>
      <c r="G18" s="228"/>
      <c r="H18" s="228"/>
      <c r="I18" s="1544"/>
    </row>
    <row r="19" spans="1:9" s="336" customFormat="1" ht="11.25">
      <c r="A19" s="1536"/>
      <c r="B19" s="1536"/>
      <c r="C19" s="1563"/>
      <c r="D19" s="1563"/>
      <c r="E19" s="1564"/>
      <c r="F19" s="1564"/>
      <c r="G19" s="1564"/>
      <c r="H19" s="1564"/>
      <c r="I19" s="1540"/>
    </row>
    <row r="20" spans="1:9" s="336" customFormat="1" ht="11.25">
      <c r="A20" s="225"/>
      <c r="B20" s="225"/>
      <c r="C20" s="225"/>
      <c r="D20" s="227"/>
      <c r="E20" s="228"/>
      <c r="F20" s="228"/>
      <c r="G20" s="228"/>
      <c r="H20" s="228"/>
      <c r="I20" s="1544"/>
    </row>
    <row r="21" spans="1:9" s="336" customFormat="1" ht="11.25">
      <c r="A21" s="225"/>
      <c r="B21" s="225"/>
      <c r="C21" s="225"/>
      <c r="D21" s="227"/>
      <c r="E21" s="228"/>
      <c r="F21" s="228"/>
      <c r="G21" s="228"/>
      <c r="H21" s="228"/>
      <c r="I21" s="1544"/>
    </row>
    <row r="22" spans="1:10" s="336" customFormat="1" ht="11.25">
      <c r="A22" s="226"/>
      <c r="B22" s="226"/>
      <c r="C22" s="1560"/>
      <c r="D22" s="1560"/>
      <c r="E22" s="1553"/>
      <c r="F22" s="1553"/>
      <c r="G22" s="1553"/>
      <c r="H22" s="1553"/>
      <c r="I22" s="1565"/>
      <c r="J22" s="1566"/>
    </row>
    <row r="23" spans="1:9" ht="11.25">
      <c r="A23" s="1567"/>
      <c r="B23" s="1568"/>
      <c r="C23" s="1568"/>
      <c r="D23" s="251" t="s">
        <v>587</v>
      </c>
      <c r="E23" s="1569">
        <f>SUM(E7:E22)</f>
        <v>20975595.91</v>
      </c>
      <c r="F23" s="1569">
        <f>SUM(F7:F22)</f>
        <v>20975595.91</v>
      </c>
      <c r="G23" s="1569">
        <f>SUM(G7:G22)</f>
        <v>0</v>
      </c>
      <c r="H23" s="1569">
        <f>SUM(H7:H22)</f>
        <v>0</v>
      </c>
      <c r="I23" s="1570"/>
    </row>
    <row r="24" spans="1:9" ht="11.25">
      <c r="A24" s="958"/>
      <c r="B24" s="336"/>
      <c r="C24" s="336"/>
      <c r="D24" s="1571"/>
      <c r="E24" s="1572"/>
      <c r="F24" s="1572"/>
      <c r="G24" s="1572"/>
      <c r="H24" s="1572"/>
      <c r="I24" s="1573"/>
    </row>
    <row r="25" spans="4:9" s="1574" customFormat="1" ht="11.25">
      <c r="D25" s="1575" t="s">
        <v>273</v>
      </c>
      <c r="E25" s="1576"/>
      <c r="F25" s="1576">
        <f>E23+G23-F23-H23</f>
        <v>0</v>
      </c>
      <c r="G25" s="1576"/>
      <c r="H25" s="1576"/>
      <c r="I25" s="1575"/>
    </row>
    <row r="26" spans="1:7" ht="11.25">
      <c r="A26" s="5"/>
      <c r="D26" s="1575" t="s">
        <v>274</v>
      </c>
      <c r="G26" s="2">
        <f>H23-G23</f>
        <v>0</v>
      </c>
    </row>
    <row r="27" ht="11.25">
      <c r="D27" s="1577"/>
    </row>
    <row r="28" spans="3:4" ht="11.25">
      <c r="C28" s="1578"/>
      <c r="D28" s="1579"/>
    </row>
    <row r="29" spans="3:4" ht="11.25">
      <c r="C29" s="336"/>
      <c r="D29" s="336"/>
    </row>
    <row r="31" ht="11.25">
      <c r="E31" s="1"/>
    </row>
  </sheetData>
  <mergeCells count="2">
    <mergeCell ref="E5:F5"/>
    <mergeCell ref="G5:H5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I27"/>
  <sheetViews>
    <sheetView workbookViewId="0" topLeftCell="A1">
      <pane xSplit="3" ySplit="6" topLeftCell="D7" activePane="bottomRight" state="frozen"/>
      <selection pane="topLeft" activeCell="G30" sqref="G30"/>
      <selection pane="topRight" activeCell="G30" sqref="G30"/>
      <selection pane="bottomLeft" activeCell="G30" sqref="G30"/>
      <selection pane="bottomRight" activeCell="G30" sqref="G30"/>
    </sheetView>
  </sheetViews>
  <sheetFormatPr defaultColWidth="9.140625" defaultRowHeight="21.75"/>
  <cols>
    <col min="1" max="1" width="7.7109375" style="1" customWidth="1"/>
    <col min="2" max="2" width="7.57421875" style="1" customWidth="1"/>
    <col min="3" max="3" width="9.28125" style="1" customWidth="1"/>
    <col min="4" max="4" width="42.57421875" style="1" customWidth="1"/>
    <col min="5" max="6" width="12.00390625" style="2" bestFit="1" customWidth="1"/>
    <col min="7" max="7" width="11.7109375" style="2" bestFit="1" customWidth="1"/>
    <col min="8" max="8" width="11.140625" style="2" bestFit="1" customWidth="1"/>
    <col min="9" max="9" width="10.28125" style="1522" customWidth="1"/>
    <col min="10" max="11" width="12.421875" style="1" bestFit="1" customWidth="1"/>
    <col min="12" max="16384" width="9.140625" style="1" customWidth="1"/>
  </cols>
  <sheetData>
    <row r="1" spans="1:3" ht="11.25">
      <c r="A1" s="1520" t="s">
        <v>261</v>
      </c>
      <c r="B1" s="1521"/>
      <c r="C1" s="1521"/>
    </row>
    <row r="2" spans="1:3" ht="11.25">
      <c r="A2" s="1523" t="s">
        <v>275</v>
      </c>
      <c r="B2" s="1524"/>
      <c r="C2" s="1524"/>
    </row>
    <row r="3" ht="11.25">
      <c r="A3" s="1525" t="s">
        <v>278</v>
      </c>
    </row>
    <row r="4" spans="1:4" ht="11.25">
      <c r="A4" s="1526"/>
      <c r="B4" s="1527"/>
      <c r="C4" s="1527"/>
      <c r="D4" s="1527"/>
    </row>
    <row r="5" spans="1:9" ht="11.25">
      <c r="A5" s="1528" t="s">
        <v>263</v>
      </c>
      <c r="B5" s="1529" t="s">
        <v>264</v>
      </c>
      <c r="C5" s="1529" t="s">
        <v>265</v>
      </c>
      <c r="D5" s="1529" t="s">
        <v>266</v>
      </c>
      <c r="E5" s="1733" t="s">
        <v>267</v>
      </c>
      <c r="F5" s="1734"/>
      <c r="G5" s="1733" t="s">
        <v>268</v>
      </c>
      <c r="H5" s="1734"/>
      <c r="I5" s="1530"/>
    </row>
    <row r="6" spans="1:9" ht="11.25">
      <c r="A6" s="1531"/>
      <c r="B6" s="1532"/>
      <c r="C6" s="1532" t="s">
        <v>491</v>
      </c>
      <c r="D6" s="1532"/>
      <c r="E6" s="1533" t="s">
        <v>269</v>
      </c>
      <c r="F6" s="1533" t="s">
        <v>270</v>
      </c>
      <c r="G6" s="1533" t="s">
        <v>269</v>
      </c>
      <c r="H6" s="1533" t="s">
        <v>270</v>
      </c>
      <c r="I6" s="1534" t="s">
        <v>271</v>
      </c>
    </row>
    <row r="7" spans="1:9" ht="11.25">
      <c r="A7" s="1535"/>
      <c r="B7" s="1536"/>
      <c r="C7" s="1519"/>
      <c r="D7" s="1537"/>
      <c r="E7" s="1538"/>
      <c r="F7" s="1538"/>
      <c r="G7" s="1539"/>
      <c r="H7" s="1538"/>
      <c r="I7" s="1540"/>
    </row>
    <row r="8" spans="1:9" ht="11.25">
      <c r="A8" s="1541">
        <v>1</v>
      </c>
      <c r="B8" s="796" t="s">
        <v>279</v>
      </c>
      <c r="C8" s="1542">
        <v>242190</v>
      </c>
      <c r="D8" s="1580" t="s">
        <v>611</v>
      </c>
      <c r="E8" s="1543">
        <v>484522.08</v>
      </c>
      <c r="F8" s="1543"/>
      <c r="G8" s="1305"/>
      <c r="H8" s="1543"/>
      <c r="I8" s="1544" t="s">
        <v>272</v>
      </c>
    </row>
    <row r="9" spans="1:9" ht="11.25">
      <c r="A9" s="1541"/>
      <c r="B9" s="796"/>
      <c r="C9" s="1542">
        <v>242190</v>
      </c>
      <c r="D9" s="1580" t="s">
        <v>1116</v>
      </c>
      <c r="E9" s="1543"/>
      <c r="F9" s="1543">
        <v>484522.08</v>
      </c>
      <c r="G9" s="1305"/>
      <c r="H9" s="1543"/>
      <c r="I9" s="1544"/>
    </row>
    <row r="10" spans="1:9" ht="11.25">
      <c r="A10" s="1541"/>
      <c r="B10" s="1546"/>
      <c r="C10" s="1547"/>
      <c r="D10" s="1548"/>
      <c r="E10" s="1543"/>
      <c r="F10" s="1543"/>
      <c r="G10" s="1305"/>
      <c r="H10" s="1543"/>
      <c r="I10" s="1544"/>
    </row>
    <row r="11" spans="1:9" ht="11.25">
      <c r="A11" s="1549"/>
      <c r="B11" s="1550"/>
      <c r="C11" s="1551"/>
      <c r="D11" s="1552" t="s">
        <v>280</v>
      </c>
      <c r="E11" s="1553"/>
      <c r="F11" s="1553"/>
      <c r="G11" s="1554"/>
      <c r="H11" s="1553"/>
      <c r="I11" s="226"/>
    </row>
    <row r="12" spans="1:9" s="336" customFormat="1" ht="11.25">
      <c r="A12" s="1555"/>
      <c r="B12" s="225"/>
      <c r="C12" s="227"/>
      <c r="D12" s="1556"/>
      <c r="E12" s="228"/>
      <c r="F12" s="228"/>
      <c r="G12" s="228"/>
      <c r="H12" s="228"/>
      <c r="I12" s="1544"/>
    </row>
    <row r="13" spans="1:9" ht="11.25">
      <c r="A13" s="1541"/>
      <c r="B13" s="796"/>
      <c r="C13" s="1542"/>
      <c r="D13" s="1580"/>
      <c r="E13" s="1543"/>
      <c r="F13" s="1543"/>
      <c r="G13" s="1305"/>
      <c r="H13" s="1543"/>
      <c r="I13" s="1544"/>
    </row>
    <row r="14" spans="1:9" ht="11.25">
      <c r="A14" s="1541"/>
      <c r="B14" s="796"/>
      <c r="C14" s="1542"/>
      <c r="D14" s="1580"/>
      <c r="E14" s="1543"/>
      <c r="F14" s="1543"/>
      <c r="G14" s="1305"/>
      <c r="H14" s="1543"/>
      <c r="I14" s="1544"/>
    </row>
    <row r="15" spans="1:9" ht="11.25">
      <c r="A15" s="1541"/>
      <c r="B15" s="796"/>
      <c r="C15" s="1542"/>
      <c r="D15" s="1580"/>
      <c r="E15" s="1543"/>
      <c r="F15" s="1543"/>
      <c r="G15" s="1305"/>
      <c r="H15" s="1543"/>
      <c r="I15" s="1544"/>
    </row>
    <row r="16" spans="1:9" ht="11.25">
      <c r="A16" s="1541"/>
      <c r="B16" s="796"/>
      <c r="C16" s="1542"/>
      <c r="D16" s="1580"/>
      <c r="E16" s="1543"/>
      <c r="F16" s="1543"/>
      <c r="G16" s="1305"/>
      <c r="H16" s="1543"/>
      <c r="I16" s="1544"/>
    </row>
    <row r="17" spans="1:9" ht="11.25">
      <c r="A17" s="1541"/>
      <c r="B17" s="1546"/>
      <c r="C17" s="1547"/>
      <c r="D17" s="1548"/>
      <c r="E17" s="1543"/>
      <c r="F17" s="1543"/>
      <c r="G17" s="1305"/>
      <c r="H17" s="1543"/>
      <c r="I17" s="1544"/>
    </row>
    <row r="18" spans="1:9" ht="11.25">
      <c r="A18" s="1549"/>
      <c r="B18" s="1550"/>
      <c r="C18" s="1551"/>
      <c r="D18" s="1552"/>
      <c r="E18" s="1553"/>
      <c r="F18" s="1553"/>
      <c r="G18" s="1554"/>
      <c r="H18" s="1553"/>
      <c r="I18" s="226"/>
    </row>
    <row r="19" spans="1:9" ht="11.25">
      <c r="A19" s="1567"/>
      <c r="B19" s="1568"/>
      <c r="C19" s="1568"/>
      <c r="D19" s="251" t="s">
        <v>587</v>
      </c>
      <c r="E19" s="1569">
        <f>SUM(E7:E18)</f>
        <v>484522.08</v>
      </c>
      <c r="F19" s="1569">
        <f>SUM(F7:F18)</f>
        <v>484522.08</v>
      </c>
      <c r="G19" s="1569">
        <f>SUM(G7:G18)</f>
        <v>0</v>
      </c>
      <c r="H19" s="1569">
        <f>SUM(H7:H18)</f>
        <v>0</v>
      </c>
      <c r="I19" s="1570"/>
    </row>
    <row r="20" spans="1:9" ht="11.25">
      <c r="A20" s="958"/>
      <c r="B20" s="336"/>
      <c r="C20" s="336"/>
      <c r="D20" s="1571"/>
      <c r="E20" s="1572"/>
      <c r="F20" s="1572"/>
      <c r="G20" s="1572"/>
      <c r="H20" s="1572"/>
      <c r="I20" s="1573"/>
    </row>
    <row r="21" spans="4:9" s="1574" customFormat="1" ht="11.25">
      <c r="D21" s="1575" t="s">
        <v>273</v>
      </c>
      <c r="E21" s="1576"/>
      <c r="F21" s="1576">
        <f>E19+G19-F19-H19</f>
        <v>0</v>
      </c>
      <c r="G21" s="1576"/>
      <c r="H21" s="1576"/>
      <c r="I21" s="1575"/>
    </row>
    <row r="22" spans="1:7" ht="11.25">
      <c r="A22" s="5"/>
      <c r="D22" s="1575" t="s">
        <v>274</v>
      </c>
      <c r="G22" s="2">
        <f>H19-G19</f>
        <v>0</v>
      </c>
    </row>
    <row r="23" ht="11.25">
      <c r="D23" s="1577"/>
    </row>
    <row r="24" spans="3:4" ht="11.25">
      <c r="C24" s="1578"/>
      <c r="D24" s="1579"/>
    </row>
    <row r="25" spans="3:4" ht="11.25">
      <c r="C25" s="336"/>
      <c r="D25" s="336"/>
    </row>
    <row r="27" ht="11.25">
      <c r="E27" s="1"/>
    </row>
  </sheetData>
  <mergeCells count="2">
    <mergeCell ref="E5:F5"/>
    <mergeCell ref="G5:H5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SheetLayoutView="100" workbookViewId="0" topLeftCell="A1">
      <selection activeCell="F28" sqref="F28"/>
    </sheetView>
  </sheetViews>
  <sheetFormatPr defaultColWidth="9.140625" defaultRowHeight="21.75" customHeight="1"/>
  <cols>
    <col min="1" max="1" width="1.57421875" style="1583" customWidth="1"/>
    <col min="2" max="5" width="1.7109375" style="1583" customWidth="1"/>
    <col min="6" max="6" width="38.421875" style="1583" customWidth="1"/>
    <col min="7" max="7" width="8.421875" style="1584" customWidth="1"/>
    <col min="8" max="8" width="1.421875" style="1584" customWidth="1"/>
    <col min="9" max="9" width="15.28125" style="1585" customWidth="1"/>
    <col min="10" max="10" width="1.421875" style="1586" customWidth="1"/>
    <col min="11" max="11" width="15.28125" style="1585" customWidth="1"/>
    <col min="12" max="16384" width="9.140625" style="1583" customWidth="1"/>
  </cols>
  <sheetData>
    <row r="1" ht="21.75" customHeight="1">
      <c r="A1" s="1582" t="s">
        <v>283</v>
      </c>
    </row>
    <row r="2" ht="21.75" customHeight="1">
      <c r="A2" s="1582" t="s">
        <v>393</v>
      </c>
    </row>
    <row r="3" spans="1:11" ht="21.75" customHeight="1">
      <c r="A3" s="1587" t="s">
        <v>102</v>
      </c>
      <c r="B3" s="1588"/>
      <c r="C3" s="1588"/>
      <c r="D3" s="1588"/>
      <c r="E3" s="1588"/>
      <c r="F3" s="1588"/>
      <c r="G3" s="1589"/>
      <c r="H3" s="1589"/>
      <c r="I3" s="1590"/>
      <c r="J3" s="1591"/>
      <c r="K3" s="1590"/>
    </row>
    <row r="5" spans="7:11" ht="21.75" customHeight="1">
      <c r="G5" s="1600"/>
      <c r="H5" s="1600"/>
      <c r="I5" s="1597" t="s">
        <v>100</v>
      </c>
      <c r="J5" s="1598"/>
      <c r="K5" s="1597" t="s">
        <v>287</v>
      </c>
    </row>
    <row r="6" spans="7:11" ht="21.75" customHeight="1">
      <c r="G6" s="1600"/>
      <c r="H6" s="1600"/>
      <c r="I6" s="1597" t="s">
        <v>288</v>
      </c>
      <c r="J6" s="1598"/>
      <c r="K6" s="1597" t="s">
        <v>288</v>
      </c>
    </row>
    <row r="7" spans="7:11" ht="21.75" customHeight="1">
      <c r="G7" s="1601" t="s">
        <v>290</v>
      </c>
      <c r="H7" s="1600"/>
      <c r="I7" s="1602" t="s">
        <v>373</v>
      </c>
      <c r="J7" s="1598"/>
      <c r="K7" s="1602" t="s">
        <v>373</v>
      </c>
    </row>
    <row r="9" spans="1:11" ht="21.75" customHeight="1">
      <c r="A9" s="1582" t="s">
        <v>394</v>
      </c>
      <c r="G9" s="1584">
        <v>11</v>
      </c>
      <c r="I9" s="1590">
        <v>-47748534</v>
      </c>
      <c r="K9" s="1590">
        <v>-42197628</v>
      </c>
    </row>
    <row r="11" ht="21.75" customHeight="1">
      <c r="A11" s="1582" t="s">
        <v>395</v>
      </c>
    </row>
    <row r="12" spans="1:11" ht="21.75" customHeight="1">
      <c r="A12" s="1583" t="s">
        <v>338</v>
      </c>
      <c r="I12" s="1678" t="s">
        <v>392</v>
      </c>
      <c r="K12" s="1585">
        <v>15233</v>
      </c>
    </row>
    <row r="13" spans="1:11" ht="21.75" customHeight="1">
      <c r="A13" s="1583" t="s">
        <v>396</v>
      </c>
      <c r="I13" s="1585">
        <v>-1518608</v>
      </c>
      <c r="K13" s="1585">
        <v>-3190019</v>
      </c>
    </row>
    <row r="14" spans="1:11" ht="21.75" customHeight="1">
      <c r="A14" s="1583" t="s">
        <v>301</v>
      </c>
      <c r="I14" s="1595">
        <v>84716</v>
      </c>
      <c r="K14" s="1595">
        <v>-83400</v>
      </c>
    </row>
    <row r="15" spans="1:11" ht="21.75" customHeight="1">
      <c r="A15" s="1583" t="s">
        <v>305</v>
      </c>
      <c r="I15" s="1590">
        <v>38582</v>
      </c>
      <c r="K15" s="1605" t="s">
        <v>392</v>
      </c>
    </row>
    <row r="16" spans="9:11" ht="7.5" customHeight="1">
      <c r="I16" s="1595"/>
      <c r="J16" s="1596"/>
      <c r="K16" s="1595"/>
    </row>
    <row r="17" spans="1:11" ht="21.75" customHeight="1">
      <c r="A17" s="1583" t="s">
        <v>397</v>
      </c>
      <c r="I17" s="1590">
        <f>SUM(I12:I15)</f>
        <v>-1395310</v>
      </c>
      <c r="K17" s="1590">
        <f>SUM(K12:K15)</f>
        <v>-3258186</v>
      </c>
    </row>
    <row r="19" ht="21.75" customHeight="1">
      <c r="A19" s="1582" t="s">
        <v>398</v>
      </c>
    </row>
    <row r="20" spans="1:11" ht="21.75" customHeight="1">
      <c r="A20" s="1583" t="s">
        <v>989</v>
      </c>
      <c r="I20" s="1590">
        <v>-270806</v>
      </c>
      <c r="J20" s="1596"/>
      <c r="K20" s="1590">
        <v>-226554</v>
      </c>
    </row>
    <row r="21" spans="9:11" ht="7.5" customHeight="1">
      <c r="I21" s="1595"/>
      <c r="J21" s="1596"/>
      <c r="K21" s="1595"/>
    </row>
    <row r="22" spans="1:11" ht="21.75" customHeight="1">
      <c r="A22" s="1583" t="s">
        <v>400</v>
      </c>
      <c r="I22" s="1590">
        <f>SUM(I20:I21)</f>
        <v>-270806</v>
      </c>
      <c r="K22" s="1590">
        <f>SUM(K20:K21)</f>
        <v>-226554</v>
      </c>
    </row>
    <row r="24" spans="1:11" ht="21.75" customHeight="1">
      <c r="A24" s="1582" t="s">
        <v>401</v>
      </c>
      <c r="I24" s="1590">
        <v>-30682.580728380173</v>
      </c>
      <c r="K24" s="1590">
        <v>-14272</v>
      </c>
    </row>
    <row r="25" spans="1:11" ht="21.75" customHeight="1">
      <c r="A25" s="1582"/>
      <c r="I25" s="1595"/>
      <c r="K25" s="1595"/>
    </row>
    <row r="26" spans="1:11" ht="21.75" customHeight="1">
      <c r="A26" s="1582" t="s">
        <v>402</v>
      </c>
      <c r="I26" s="1585">
        <f>SUM(I24,I22,I17,I9)</f>
        <v>-49445332.58072838</v>
      </c>
      <c r="K26" s="1585">
        <v>-45696640</v>
      </c>
    </row>
    <row r="27" spans="1:11" ht="21.75" customHeight="1">
      <c r="A27" s="1583" t="s">
        <v>403</v>
      </c>
      <c r="I27" s="1585">
        <v>118307151</v>
      </c>
      <c r="K27" s="1585">
        <v>160683166</v>
      </c>
    </row>
    <row r="28" ht="21.75" customHeight="1">
      <c r="A28" s="1583" t="s">
        <v>567</v>
      </c>
    </row>
    <row r="29" spans="2:11" ht="21.75" customHeight="1">
      <c r="B29" s="1583" t="s">
        <v>404</v>
      </c>
      <c r="I29" s="1590">
        <v>30683</v>
      </c>
      <c r="J29" s="1596"/>
      <c r="K29" s="1590">
        <v>14272</v>
      </c>
    </row>
    <row r="30" spans="9:11" ht="7.5" customHeight="1">
      <c r="I30" s="1595"/>
      <c r="J30" s="1596"/>
      <c r="K30" s="1595"/>
    </row>
    <row r="31" spans="1:11" ht="21.75" customHeight="1" thickBot="1">
      <c r="A31" s="1582" t="s">
        <v>405</v>
      </c>
      <c r="I31" s="1604">
        <f>SUM(I26:I30)</f>
        <v>68892501.41927162</v>
      </c>
      <c r="K31" s="1604">
        <f>SUM(K26:K30)</f>
        <v>115000798</v>
      </c>
    </row>
    <row r="32" spans="9:11" ht="21.75" customHeight="1" thickTop="1">
      <c r="I32" s="1595"/>
      <c r="K32" s="1595"/>
    </row>
    <row r="33" ht="21.75" customHeight="1">
      <c r="A33" s="1582" t="s">
        <v>625</v>
      </c>
    </row>
    <row r="34" ht="7.5" customHeight="1"/>
    <row r="35" spans="1:11" ht="21.75" customHeight="1">
      <c r="A35" s="1583" t="s">
        <v>538</v>
      </c>
      <c r="I35" s="1585">
        <v>1059608</v>
      </c>
      <c r="K35" s="1679" t="s">
        <v>392</v>
      </c>
    </row>
    <row r="39" ht="15.75" customHeight="1"/>
    <row r="40" spans="1:11" s="1588" customFormat="1" ht="21.75" customHeight="1">
      <c r="A40" s="1588" t="str">
        <f>'ไทย2-4'!42:42</f>
        <v>หมายเหตุประกอบงบการเงินในหน้า 7 ถึง 15 เป็นส่วนหนึ่งของงบการเงินระหว่างกาลนี้</v>
      </c>
      <c r="G40" s="1589"/>
      <c r="H40" s="1589"/>
      <c r="I40" s="1605"/>
      <c r="J40" s="1591"/>
      <c r="K40" s="1605"/>
    </row>
    <row r="43" ht="21.75" customHeight="1">
      <c r="I43" s="1673"/>
    </row>
    <row r="44" ht="21.75" customHeight="1">
      <c r="I44" s="1673"/>
    </row>
  </sheetData>
  <printOptions/>
  <pageMargins left="1.2" right="0.75" top="0.5" bottom="0.6" header="0.49" footer="0.4"/>
  <pageSetup firstPageNumber="6" useFirstPageNumber="1" fitToWidth="0" horizontalDpi="1200" verticalDpi="1200" orientation="portrait" paperSize="9" r:id="rId1"/>
  <headerFooter alignWithMargins="0">
    <oddFooter>&amp;R&amp;"Angsana New,Regular"&amp;P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6">
      <selection activeCell="G30" sqref="G30"/>
    </sheetView>
  </sheetViews>
  <sheetFormatPr defaultColWidth="9.140625" defaultRowHeight="21.75"/>
  <cols>
    <col min="1" max="2" width="4.8515625" style="1207" customWidth="1"/>
    <col min="3" max="4" width="9.140625" style="1207" customWidth="1"/>
    <col min="5" max="5" width="36.7109375" style="1207" customWidth="1"/>
    <col min="6" max="6" width="18.57421875" style="1207" customWidth="1"/>
    <col min="7" max="7" width="18.8515625" style="1207" customWidth="1"/>
    <col min="8" max="16384" width="9.140625" style="1207" customWidth="1"/>
  </cols>
  <sheetData>
    <row r="1" spans="1:7" ht="15.75">
      <c r="A1" s="1639" t="s">
        <v>318</v>
      </c>
      <c r="B1" s="1640"/>
      <c r="C1" s="1640"/>
      <c r="D1" s="1640"/>
      <c r="E1" s="1640"/>
      <c r="F1" s="1641"/>
      <c r="G1" s="1642"/>
    </row>
    <row r="2" spans="1:7" ht="15.75">
      <c r="A2" s="1643" t="s">
        <v>393</v>
      </c>
      <c r="B2" s="1640"/>
      <c r="C2" s="1640"/>
      <c r="D2" s="1640"/>
      <c r="E2" s="1640"/>
      <c r="F2" s="1641"/>
      <c r="G2" s="1642"/>
    </row>
    <row r="3" spans="1:7" ht="15.75">
      <c r="A3" s="1639" t="s">
        <v>319</v>
      </c>
      <c r="B3" s="1640"/>
      <c r="C3" s="1640"/>
      <c r="D3" s="1640"/>
      <c r="E3" s="1640"/>
      <c r="F3" s="1641"/>
      <c r="G3" s="1644"/>
    </row>
    <row r="4" spans="1:7" ht="12.75">
      <c r="A4" s="1645"/>
      <c r="B4" s="1645"/>
      <c r="C4" s="1645"/>
      <c r="D4" s="1645"/>
      <c r="E4" s="1645"/>
      <c r="F4" s="1646" t="s">
        <v>320</v>
      </c>
      <c r="G4" s="1647" t="s">
        <v>321</v>
      </c>
    </row>
    <row r="5" spans="1:7" ht="12.75">
      <c r="A5" s="1640"/>
      <c r="B5" s="1640"/>
      <c r="C5" s="1640"/>
      <c r="D5" s="1640"/>
      <c r="E5" s="1640"/>
      <c r="F5" s="1641"/>
      <c r="G5" s="1642"/>
    </row>
    <row r="6" spans="1:7" ht="15.75">
      <c r="A6" s="1648" t="s">
        <v>394</v>
      </c>
      <c r="B6" s="1640"/>
      <c r="C6" s="1640"/>
      <c r="D6" s="1640"/>
      <c r="E6" s="1640"/>
      <c r="F6" s="1649"/>
      <c r="G6" s="1642"/>
    </row>
    <row r="7" spans="1:7" ht="12.75">
      <c r="A7" s="1640"/>
      <c r="B7" s="1640" t="s">
        <v>322</v>
      </c>
      <c r="C7" s="1640"/>
      <c r="D7" s="1640"/>
      <c r="E7" s="1640"/>
      <c r="F7" s="1649">
        <v>12737242.967232866</v>
      </c>
      <c r="G7" s="1650">
        <v>11252107.58635873</v>
      </c>
    </row>
    <row r="8" spans="1:7" ht="12.75">
      <c r="A8" s="1640"/>
      <c r="B8" s="1640" t="s">
        <v>323</v>
      </c>
      <c r="C8" s="1640"/>
      <c r="D8" s="1640"/>
      <c r="E8" s="1640"/>
      <c r="F8" s="1649"/>
      <c r="G8" s="1642"/>
    </row>
    <row r="9" spans="1:7" ht="12.75">
      <c r="A9" s="1640"/>
      <c r="B9" s="1640"/>
      <c r="C9" s="1640" t="s">
        <v>324</v>
      </c>
      <c r="D9" s="1651"/>
      <c r="E9" s="1640"/>
      <c r="F9" s="1649">
        <v>11404332.919999998</v>
      </c>
      <c r="G9" s="1642">
        <v>11223444.940000001</v>
      </c>
    </row>
    <row r="10" spans="1:7" ht="12.75">
      <c r="A10" s="1640"/>
      <c r="B10" s="1640"/>
      <c r="C10" s="1640" t="s">
        <v>325</v>
      </c>
      <c r="D10" s="1651"/>
      <c r="E10" s="1640"/>
      <c r="F10" s="1649">
        <v>-7184.02</v>
      </c>
      <c r="G10" s="1642">
        <v>-155655.24</v>
      </c>
    </row>
    <row r="11" spans="1:7" ht="12.75">
      <c r="A11" s="1640"/>
      <c r="B11" s="1640"/>
      <c r="C11" s="1640" t="s">
        <v>326</v>
      </c>
      <c r="D11" s="1651"/>
      <c r="E11" s="1640"/>
      <c r="F11" s="1649">
        <v>0</v>
      </c>
      <c r="G11" s="1642">
        <v>0</v>
      </c>
    </row>
    <row r="12" spans="1:7" ht="12.75">
      <c r="A12" s="1640"/>
      <c r="B12" s="1640"/>
      <c r="C12" s="1640" t="s">
        <v>1080</v>
      </c>
      <c r="D12" s="1651"/>
      <c r="E12" s="1640"/>
      <c r="F12" s="1649">
        <v>-382403.47</v>
      </c>
      <c r="G12" s="1642">
        <v>-14252.71</v>
      </c>
    </row>
    <row r="13" spans="1:7" ht="12.75">
      <c r="A13" s="1640"/>
      <c r="B13" s="1640"/>
      <c r="C13" s="1640" t="s">
        <v>327</v>
      </c>
      <c r="D13" s="1651"/>
      <c r="E13" s="1640"/>
      <c r="F13" s="1649">
        <v>-386414.97</v>
      </c>
      <c r="G13" s="1642">
        <v>387854.75</v>
      </c>
    </row>
    <row r="14" spans="1:7" ht="12.75">
      <c r="A14" s="1640"/>
      <c r="B14" s="1640"/>
      <c r="C14" s="1640" t="s">
        <v>328</v>
      </c>
      <c r="D14" s="1651"/>
      <c r="E14" s="1640"/>
      <c r="F14" s="1649">
        <v>917982.19</v>
      </c>
      <c r="G14" s="1650">
        <v>0</v>
      </c>
    </row>
    <row r="15" spans="1:7" ht="12.75">
      <c r="A15" s="1640"/>
      <c r="B15" s="1652" t="s">
        <v>329</v>
      </c>
      <c r="C15" s="1651"/>
      <c r="D15" s="1640"/>
      <c r="E15" s="1640"/>
      <c r="F15" s="1649"/>
      <c r="G15" s="1642"/>
    </row>
    <row r="16" spans="1:7" ht="12.75">
      <c r="A16" s="1640"/>
      <c r="B16" s="1640"/>
      <c r="C16" s="1640" t="s">
        <v>330</v>
      </c>
      <c r="D16" s="1651"/>
      <c r="E16" s="1640"/>
      <c r="F16" s="1649">
        <v>-10933504.049999952</v>
      </c>
      <c r="G16" s="1650">
        <v>-7095674.25</v>
      </c>
    </row>
    <row r="17" spans="1:7" ht="12.75">
      <c r="A17" s="1640"/>
      <c r="B17" s="1640"/>
      <c r="C17" s="1640" t="s">
        <v>1074</v>
      </c>
      <c r="D17" s="1651"/>
      <c r="E17" s="1640"/>
      <c r="F17" s="1649">
        <v>2582479.22</v>
      </c>
      <c r="G17" s="1650">
        <v>3422951.81</v>
      </c>
    </row>
    <row r="18" spans="1:7" ht="12.75">
      <c r="A18" s="1640"/>
      <c r="B18" s="1640"/>
      <c r="C18" s="1640" t="s">
        <v>821</v>
      </c>
      <c r="D18" s="1651"/>
      <c r="E18" s="1640"/>
      <c r="F18" s="1649">
        <v>0</v>
      </c>
      <c r="G18" s="1650">
        <v>0</v>
      </c>
    </row>
    <row r="19" spans="1:7" ht="12.75">
      <c r="A19" s="1640"/>
      <c r="B19" s="1640"/>
      <c r="C19" s="1640" t="s">
        <v>1084</v>
      </c>
      <c r="D19" s="1651"/>
      <c r="E19" s="1640"/>
      <c r="F19" s="1649">
        <v>-6033774.110000014</v>
      </c>
      <c r="G19" s="1650">
        <v>-15186819.360000014</v>
      </c>
    </row>
    <row r="20" spans="1:7" ht="12.75">
      <c r="A20" s="1640"/>
      <c r="B20" s="1640"/>
      <c r="C20" s="1640" t="s">
        <v>298</v>
      </c>
      <c r="D20" s="1651"/>
      <c r="E20" s="1640"/>
      <c r="F20" s="1649">
        <v>-2186699.24</v>
      </c>
      <c r="G20" s="1650">
        <v>-4012916.28</v>
      </c>
    </row>
    <row r="21" spans="1:7" ht="12.75">
      <c r="A21" s="1640"/>
      <c r="B21" s="1640"/>
      <c r="C21" s="1640" t="s">
        <v>331</v>
      </c>
      <c r="D21" s="1651"/>
      <c r="E21" s="1640"/>
      <c r="F21" s="1649">
        <v>-1710779.36</v>
      </c>
      <c r="G21" s="1650">
        <v>580698.81</v>
      </c>
    </row>
    <row r="22" spans="1:7" ht="12.75">
      <c r="A22" s="1640"/>
      <c r="B22" s="1640"/>
      <c r="C22" s="1640" t="s">
        <v>332</v>
      </c>
      <c r="D22" s="1651"/>
      <c r="E22" s="1640"/>
      <c r="F22" s="1649">
        <v>-2772990.87</v>
      </c>
      <c r="G22" s="1642">
        <v>-4133547.89</v>
      </c>
    </row>
    <row r="23" spans="1:7" ht="12.75">
      <c r="A23" s="1640"/>
      <c r="B23" s="1640"/>
      <c r="C23" s="1640" t="s">
        <v>333</v>
      </c>
      <c r="D23" s="1651"/>
      <c r="E23" s="1640"/>
      <c r="F23" s="1649">
        <v>-66714496.31345999</v>
      </c>
      <c r="G23" s="1642">
        <v>4992957.449999988</v>
      </c>
    </row>
    <row r="24" spans="1:7" ht="12.75">
      <c r="A24" s="1640"/>
      <c r="B24" s="1640"/>
      <c r="C24" s="1640" t="s">
        <v>117</v>
      </c>
      <c r="D24" s="1651"/>
      <c r="E24" s="1640"/>
      <c r="F24" s="1649">
        <v>-828340.11</v>
      </c>
      <c r="G24" s="1642">
        <v>273208.23</v>
      </c>
    </row>
    <row r="25" spans="1:7" ht="12.75">
      <c r="A25" s="1640"/>
      <c r="B25" s="1640"/>
      <c r="C25" s="1640" t="s">
        <v>334</v>
      </c>
      <c r="D25" s="1651"/>
      <c r="E25" s="1640"/>
      <c r="F25" s="1649">
        <v>-2034790.77</v>
      </c>
      <c r="G25" s="1642">
        <v>1746150.69</v>
      </c>
    </row>
    <row r="26" spans="1:7" ht="12.75">
      <c r="A26" s="1640"/>
      <c r="B26" s="1640"/>
      <c r="C26" s="1640" t="s">
        <v>335</v>
      </c>
      <c r="D26" s="1651"/>
      <c r="E26" s="1640"/>
      <c r="F26" s="1649">
        <v>0</v>
      </c>
      <c r="G26" s="1642">
        <v>0</v>
      </c>
    </row>
    <row r="27" spans="1:7" ht="12.75">
      <c r="A27" s="1640"/>
      <c r="B27" s="1640"/>
      <c r="C27" s="1640" t="s">
        <v>87</v>
      </c>
      <c r="D27" s="1651"/>
      <c r="E27" s="1640"/>
      <c r="F27" s="1649">
        <v>5645001.483205609</v>
      </c>
      <c r="G27" s="1642">
        <v>5103977.510997057</v>
      </c>
    </row>
    <row r="28" spans="1:7" ht="12.75">
      <c r="A28" s="1640"/>
      <c r="B28" s="1640"/>
      <c r="C28" s="1653" t="s">
        <v>69</v>
      </c>
      <c r="D28" s="1651"/>
      <c r="E28" s="1653"/>
      <c r="F28" s="1649">
        <v>-704317.9700000063</v>
      </c>
      <c r="G28" s="1650">
        <v>-7710665.1499999985</v>
      </c>
    </row>
    <row r="29" spans="1:7" ht="12.75">
      <c r="A29" s="1640"/>
      <c r="B29" s="1640"/>
      <c r="C29" s="1654" t="s">
        <v>66</v>
      </c>
      <c r="D29" s="1651"/>
      <c r="E29" s="1653"/>
      <c r="F29" s="1649">
        <v>-1764567.62</v>
      </c>
      <c r="G29" s="1650">
        <v>1933649.09</v>
      </c>
    </row>
    <row r="30" spans="1:7" ht="12.75">
      <c r="A30" s="1640"/>
      <c r="B30" s="1640"/>
      <c r="C30" s="1640"/>
      <c r="D30" s="1640"/>
      <c r="E30" s="1655" t="s">
        <v>336</v>
      </c>
      <c r="F30" s="1656">
        <v>-63173224.0930215</v>
      </c>
      <c r="G30" s="1657">
        <v>2607469.987355763</v>
      </c>
    </row>
    <row r="31" spans="1:7" ht="21.75">
      <c r="A31" s="1640"/>
      <c r="B31" s="1640"/>
      <c r="C31" s="1640"/>
      <c r="D31" s="1640"/>
      <c r="E31" s="1640"/>
      <c r="F31" s="1658"/>
      <c r="G31" s="1650"/>
    </row>
    <row r="32" spans="1:7" ht="21.75">
      <c r="A32" s="1648" t="s">
        <v>395</v>
      </c>
      <c r="B32" s="1640"/>
      <c r="C32" s="1648"/>
      <c r="D32" s="1640"/>
      <c r="E32" s="1640"/>
      <c r="F32" s="1658"/>
      <c r="G32" s="1650"/>
    </row>
    <row r="33" spans="1:7" ht="15.75">
      <c r="A33" s="1648"/>
      <c r="B33" s="1640"/>
      <c r="C33" s="1640" t="s">
        <v>337</v>
      </c>
      <c r="D33" s="1651"/>
      <c r="E33" s="1640"/>
      <c r="F33" s="1649">
        <v>0</v>
      </c>
      <c r="G33" s="1642">
        <v>159553.76</v>
      </c>
    </row>
    <row r="34" spans="1:7" ht="12.75">
      <c r="A34" s="1640"/>
      <c r="B34" s="1640"/>
      <c r="C34" s="1640" t="s">
        <v>338</v>
      </c>
      <c r="D34" s="1651"/>
      <c r="E34" s="1640"/>
      <c r="F34" s="1649">
        <v>15231.79</v>
      </c>
      <c r="G34" s="1642">
        <v>-13662677.48</v>
      </c>
    </row>
    <row r="35" spans="1:7" ht="12.75">
      <c r="A35" s="1640"/>
      <c r="B35" s="1640"/>
      <c r="C35" s="1640" t="s">
        <v>396</v>
      </c>
      <c r="D35" s="1651"/>
      <c r="E35" s="1640"/>
      <c r="F35" s="1649">
        <v>-3190018.79</v>
      </c>
      <c r="G35" s="1642">
        <v>0</v>
      </c>
    </row>
    <row r="36" spans="1:7" ht="12.75">
      <c r="A36" s="1640"/>
      <c r="B36" s="1640"/>
      <c r="C36" s="1640" t="s">
        <v>339</v>
      </c>
      <c r="D36" s="1651"/>
      <c r="E36" s="1640"/>
      <c r="F36" s="1649">
        <v>0</v>
      </c>
      <c r="G36" s="1642">
        <v>0</v>
      </c>
    </row>
    <row r="37" spans="1:7" ht="12.75">
      <c r="A37" s="1640"/>
      <c r="B37" s="1640"/>
      <c r="C37" s="1640" t="s">
        <v>301</v>
      </c>
      <c r="D37" s="1651"/>
      <c r="E37" s="1640"/>
      <c r="F37" s="1649">
        <v>-83399.5</v>
      </c>
      <c r="G37" s="1642">
        <v>-42294</v>
      </c>
    </row>
    <row r="38" spans="1:7" ht="12.75">
      <c r="A38" s="1640"/>
      <c r="B38" s="1640"/>
      <c r="C38" s="1640" t="s">
        <v>305</v>
      </c>
      <c r="D38" s="1651"/>
      <c r="E38" s="1640"/>
      <c r="F38" s="1649">
        <v>0</v>
      </c>
      <c r="G38" s="1642">
        <v>0</v>
      </c>
    </row>
    <row r="39" spans="1:7" ht="12.75">
      <c r="A39" s="1640"/>
      <c r="B39" s="1640"/>
      <c r="C39" s="1640"/>
      <c r="D39" s="1640"/>
      <c r="E39" s="1655" t="s">
        <v>397</v>
      </c>
      <c r="F39" s="1656">
        <v>-3258186.5</v>
      </c>
      <c r="G39" s="1659">
        <v>-13545417.72</v>
      </c>
    </row>
    <row r="40" spans="1:7" ht="12.75">
      <c r="A40" s="1640"/>
      <c r="B40" s="1640"/>
      <c r="C40" s="1640"/>
      <c r="D40" s="1640"/>
      <c r="E40" s="1640"/>
      <c r="F40" s="1649"/>
      <c r="G40" s="1642"/>
    </row>
    <row r="41" spans="1:7" ht="15.75">
      <c r="A41" s="1648" t="s">
        <v>398</v>
      </c>
      <c r="B41" s="1640"/>
      <c r="C41" s="1648"/>
      <c r="D41" s="1640"/>
      <c r="E41" s="1640"/>
      <c r="F41" s="1649"/>
      <c r="G41" s="1642"/>
    </row>
    <row r="42" spans="1:7" ht="12.75">
      <c r="A42" s="1640"/>
      <c r="B42" s="1640"/>
      <c r="C42" s="1640" t="s">
        <v>340</v>
      </c>
      <c r="D42" s="1651"/>
      <c r="E42" s="1640"/>
      <c r="F42" s="1649">
        <v>0</v>
      </c>
      <c r="G42" s="1642">
        <v>0</v>
      </c>
    </row>
    <row r="43" spans="1:7" ht="12.75">
      <c r="A43" s="1640"/>
      <c r="B43" s="1640"/>
      <c r="C43" s="1640" t="s">
        <v>399</v>
      </c>
      <c r="D43" s="1651"/>
      <c r="E43" s="1640"/>
      <c r="F43" s="1649">
        <v>-226553.8</v>
      </c>
      <c r="G43" s="1642">
        <v>-493728.02</v>
      </c>
    </row>
    <row r="44" spans="1:7" ht="12.75">
      <c r="A44" s="1640"/>
      <c r="B44" s="1640"/>
      <c r="C44" s="1640" t="s">
        <v>341</v>
      </c>
      <c r="D44" s="1651"/>
      <c r="E44" s="1640"/>
      <c r="F44" s="1649">
        <v>0</v>
      </c>
      <c r="G44" s="1642">
        <v>0</v>
      </c>
    </row>
    <row r="45" spans="1:7" ht="12.75">
      <c r="A45" s="1640"/>
      <c r="B45" s="1640"/>
      <c r="C45" s="1640"/>
      <c r="D45" s="1640"/>
      <c r="E45" s="1655" t="s">
        <v>400</v>
      </c>
      <c r="F45" s="1656">
        <v>-226553.8</v>
      </c>
      <c r="G45" s="1657">
        <v>-493728.02</v>
      </c>
    </row>
    <row r="46" spans="1:7" ht="12.75">
      <c r="A46" s="1640"/>
      <c r="B46" s="1640" t="s">
        <v>401</v>
      </c>
      <c r="C46" s="1651"/>
      <c r="D46" s="1640"/>
      <c r="E46" s="1660"/>
      <c r="F46" s="1656">
        <v>-14272.085469038158</v>
      </c>
      <c r="G46" s="1657">
        <v>-10154.64</v>
      </c>
    </row>
    <row r="47" spans="1:7" ht="12.75">
      <c r="A47" s="1652" t="s">
        <v>342</v>
      </c>
      <c r="B47" s="1640"/>
      <c r="C47" s="1651"/>
      <c r="D47" s="1640"/>
      <c r="E47" s="1640"/>
      <c r="F47" s="1649">
        <v>-66672236.47849053</v>
      </c>
      <c r="G47" s="1650">
        <v>-11441830.392644238</v>
      </c>
    </row>
    <row r="48" spans="1:7" ht="12.75">
      <c r="A48" s="1652" t="s">
        <v>343</v>
      </c>
      <c r="B48" s="1640"/>
      <c r="C48" s="1651"/>
      <c r="D48" s="1640"/>
      <c r="E48" s="1640"/>
      <c r="F48" s="1649">
        <v>160683166.49000007</v>
      </c>
      <c r="G48" s="1642">
        <v>115390467.79</v>
      </c>
    </row>
    <row r="49" spans="1:7" ht="12.75">
      <c r="A49" s="1652"/>
      <c r="B49" s="1661" t="s">
        <v>344</v>
      </c>
      <c r="C49" s="1651"/>
      <c r="D49" s="1640"/>
      <c r="E49" s="1640"/>
      <c r="F49" s="1649">
        <v>14272.085469038158</v>
      </c>
      <c r="G49" s="1650">
        <v>10154.64</v>
      </c>
    </row>
    <row r="50" spans="1:7" ht="13.5" thickBot="1">
      <c r="A50" s="1652" t="s">
        <v>345</v>
      </c>
      <c r="B50" s="1640"/>
      <c r="C50" s="1651"/>
      <c r="D50" s="1640"/>
      <c r="E50" s="1640"/>
      <c r="F50" s="1662">
        <v>94025202.09697857</v>
      </c>
      <c r="G50" s="1663">
        <v>103958792.03735577</v>
      </c>
    </row>
    <row r="51" spans="1:7" ht="13.5" thickTop="1">
      <c r="A51" s="1640"/>
      <c r="B51" s="1640"/>
      <c r="C51" s="1640"/>
      <c r="D51" s="1640"/>
      <c r="E51" s="1640"/>
      <c r="F51" s="1649"/>
      <c r="G51" s="1642"/>
    </row>
    <row r="52" spans="1:7" ht="12.75">
      <c r="A52" s="1652" t="s">
        <v>346</v>
      </c>
      <c r="B52" s="1640"/>
      <c r="C52" s="1640"/>
      <c r="D52" s="1651"/>
      <c r="E52" s="1651"/>
      <c r="F52" s="1649"/>
      <c r="G52" s="1642"/>
    </row>
    <row r="53" spans="1:7" ht="12.75">
      <c r="A53" s="1652"/>
      <c r="B53" s="1640" t="s">
        <v>347</v>
      </c>
      <c r="C53" s="1640"/>
      <c r="D53" s="1651"/>
      <c r="E53" s="1651"/>
      <c r="F53" s="1641">
        <v>50000</v>
      </c>
      <c r="G53" s="1642">
        <v>50000</v>
      </c>
    </row>
    <row r="54" spans="1:7" ht="12.75">
      <c r="A54" s="1652"/>
      <c r="B54" s="1640" t="s">
        <v>348</v>
      </c>
      <c r="C54" s="1640"/>
      <c r="D54" s="1651"/>
      <c r="E54" s="1651"/>
      <c r="F54" s="1641">
        <v>93975202.09697857</v>
      </c>
      <c r="G54" s="1642">
        <v>103908792.04</v>
      </c>
    </row>
    <row r="55" spans="1:7" ht="13.5" thickBot="1">
      <c r="A55" s="1652"/>
      <c r="B55" s="1640"/>
      <c r="C55" s="1640"/>
      <c r="D55" s="1651"/>
      <c r="E55" s="1651"/>
      <c r="F55" s="1664">
        <v>94025202.09697857</v>
      </c>
      <c r="G55" s="1665">
        <v>103958792.03735577</v>
      </c>
    </row>
    <row r="56" spans="1:7" ht="13.5" thickTop="1">
      <c r="A56" s="1652"/>
      <c r="B56" s="1640"/>
      <c r="C56" s="1640"/>
      <c r="D56" s="1651"/>
      <c r="E56" s="1651"/>
      <c r="F56" s="1641"/>
      <c r="G56" s="1642"/>
    </row>
    <row r="57" spans="1:7" ht="12.75">
      <c r="A57" s="1640"/>
      <c r="B57" s="1640"/>
      <c r="C57" s="1640"/>
      <c r="D57" s="1640"/>
      <c r="E57" s="1666" t="s">
        <v>349</v>
      </c>
      <c r="F57" s="1649">
        <v>94025202.10000002</v>
      </c>
      <c r="G57" s="1650">
        <v>103958792.04</v>
      </c>
    </row>
    <row r="58" spans="1:7" ht="12.75">
      <c r="A58" s="1667"/>
      <c r="B58" s="1667"/>
      <c r="C58" s="1667"/>
      <c r="D58" s="1667"/>
      <c r="E58" s="1668" t="s">
        <v>350</v>
      </c>
      <c r="F58" s="1669">
        <v>-0.003021448850631714</v>
      </c>
      <c r="G58" s="1670">
        <v>-0.0026442408561706543</v>
      </c>
    </row>
    <row r="59" spans="1:7" ht="12.75">
      <c r="A59" s="1652" t="s">
        <v>351</v>
      </c>
      <c r="B59" s="1640"/>
      <c r="C59" s="1640"/>
      <c r="D59" s="1651"/>
      <c r="E59" s="1651"/>
      <c r="F59" s="1641"/>
      <c r="G59" s="1642"/>
    </row>
    <row r="60" spans="1:7" ht="12.75">
      <c r="A60" s="1640"/>
      <c r="B60" s="1640" t="s">
        <v>352</v>
      </c>
      <c r="C60" s="1640"/>
      <c r="D60" s="1651"/>
      <c r="E60" s="1651"/>
      <c r="F60" s="1641">
        <v>48741.2</v>
      </c>
      <c r="G60" s="1642">
        <v>74595.45</v>
      </c>
    </row>
    <row r="61" spans="1:7" ht="12.75">
      <c r="A61" s="1640"/>
      <c r="B61" s="1640" t="s">
        <v>353</v>
      </c>
      <c r="C61" s="1640"/>
      <c r="D61" s="1651"/>
      <c r="E61" s="1651"/>
      <c r="F61" s="1641">
        <v>186676.84</v>
      </c>
      <c r="G61" s="1642">
        <v>221964.09</v>
      </c>
    </row>
    <row r="62" spans="1:7" ht="12.75">
      <c r="A62" s="1640"/>
      <c r="B62" s="1640"/>
      <c r="C62" s="1640"/>
      <c r="D62" s="1651"/>
      <c r="E62" s="1651"/>
      <c r="F62" s="1641"/>
      <c r="G62" s="1642"/>
    </row>
    <row r="63" spans="1:7" ht="12.75">
      <c r="A63" s="1652" t="s">
        <v>354</v>
      </c>
      <c r="B63" s="1640"/>
      <c r="C63" s="1640"/>
      <c r="D63" s="1651"/>
      <c r="E63" s="1651"/>
      <c r="F63" s="1641"/>
      <c r="G63" s="1642"/>
    </row>
    <row r="64" spans="1:7" ht="12.75">
      <c r="A64" s="1640"/>
      <c r="B64" s="1661" t="s">
        <v>355</v>
      </c>
      <c r="C64" s="1640"/>
      <c r="D64" s="1651"/>
      <c r="E64" s="1651"/>
      <c r="F64" s="1649">
        <v>0</v>
      </c>
      <c r="G64" s="1642">
        <v>0</v>
      </c>
    </row>
    <row r="65" spans="1:7" ht="12.75">
      <c r="A65" s="1640"/>
      <c r="B65" s="1640"/>
      <c r="C65" s="1640"/>
      <c r="D65" s="1651"/>
      <c r="E65" s="1651"/>
      <c r="F65" s="1641"/>
      <c r="G65" s="1642"/>
    </row>
    <row r="66" spans="1:7" ht="12.75">
      <c r="A66" s="1652" t="s">
        <v>356</v>
      </c>
      <c r="B66" s="1640"/>
      <c r="C66" s="1640" t="s">
        <v>357</v>
      </c>
      <c r="D66" s="1651"/>
      <c r="E66" s="1651"/>
      <c r="F66" s="1641"/>
      <c r="G66" s="1642">
        <v>0</v>
      </c>
    </row>
    <row r="67" spans="1:7" ht="12.75">
      <c r="A67" s="1640"/>
      <c r="B67" s="1640"/>
      <c r="C67" s="1640" t="s">
        <v>358</v>
      </c>
      <c r="D67" s="1651"/>
      <c r="E67" s="1651"/>
      <c r="F67" s="1641"/>
      <c r="G67" s="1642">
        <v>0</v>
      </c>
    </row>
    <row r="68" spans="1:7" ht="13.5" thickBot="1">
      <c r="A68" s="1640"/>
      <c r="B68" s="1640"/>
      <c r="C68" s="1640" t="s">
        <v>359</v>
      </c>
      <c r="D68" s="1651"/>
      <c r="E68" s="1651"/>
      <c r="F68" s="1649">
        <v>186676.84</v>
      </c>
      <c r="G68" s="1642">
        <v>221964.09</v>
      </c>
    </row>
    <row r="69" spans="1:7" ht="13.5" thickBot="1">
      <c r="A69" s="1640"/>
      <c r="B69" s="1640"/>
      <c r="C69" s="1640"/>
      <c r="D69" s="1640"/>
      <c r="E69" s="1640"/>
      <c r="F69" s="1671">
        <v>186676.84</v>
      </c>
      <c r="G69" s="1672">
        <v>221964.09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G30" sqref="G30"/>
    </sheetView>
  </sheetViews>
  <sheetFormatPr defaultColWidth="9.140625" defaultRowHeight="21.75"/>
  <cols>
    <col min="1" max="2" width="4.8515625" style="1207" customWidth="1"/>
    <col min="3" max="4" width="9.140625" style="1207" customWidth="1"/>
    <col min="5" max="5" width="36.7109375" style="1207" customWidth="1"/>
    <col min="6" max="6" width="18.57421875" style="1207" customWidth="1"/>
    <col min="7" max="7" width="18.8515625" style="1207" customWidth="1"/>
    <col min="8" max="16384" width="9.140625" style="1207" customWidth="1"/>
  </cols>
  <sheetData>
    <row r="1" spans="1:7" ht="15.75">
      <c r="A1" s="1639" t="s">
        <v>318</v>
      </c>
      <c r="B1" s="1640"/>
      <c r="C1" s="1640"/>
      <c r="D1" s="1640"/>
      <c r="E1" s="1640"/>
      <c r="F1" s="1641"/>
      <c r="G1" s="1642"/>
    </row>
    <row r="2" spans="1:7" ht="15.75">
      <c r="A2" s="1643" t="s">
        <v>393</v>
      </c>
      <c r="B2" s="1640"/>
      <c r="C2" s="1640"/>
      <c r="D2" s="1640"/>
      <c r="E2" s="1640"/>
      <c r="F2" s="1641"/>
      <c r="G2" s="1642"/>
    </row>
    <row r="3" spans="1:7" ht="15.75">
      <c r="A3" s="1639" t="s">
        <v>319</v>
      </c>
      <c r="B3" s="1640"/>
      <c r="C3" s="1640"/>
      <c r="D3" s="1640"/>
      <c r="E3" s="1640"/>
      <c r="F3" s="1641"/>
      <c r="G3" s="1644"/>
    </row>
    <row r="4" spans="1:7" ht="12.75">
      <c r="A4" s="1645"/>
      <c r="B4" s="1645"/>
      <c r="C4" s="1645"/>
      <c r="D4" s="1645"/>
      <c r="E4" s="1645"/>
      <c r="F4" s="1646" t="s">
        <v>320</v>
      </c>
      <c r="G4" s="1647" t="s">
        <v>321</v>
      </c>
    </row>
    <row r="5" spans="1:7" ht="12.75">
      <c r="A5" s="1640"/>
      <c r="B5" s="1640"/>
      <c r="C5" s="1640"/>
      <c r="D5" s="1640"/>
      <c r="E5" s="1640"/>
      <c r="F5" s="1641"/>
      <c r="G5" s="1642"/>
    </row>
    <row r="6" spans="1:7" ht="15.75">
      <c r="A6" s="1648" t="s">
        <v>394</v>
      </c>
      <c r="B6" s="1640"/>
      <c r="C6" s="1640"/>
      <c r="D6" s="1640"/>
      <c r="E6" s="1640"/>
      <c r="F6" s="1649"/>
      <c r="G6" s="1642"/>
    </row>
    <row r="7" spans="1:7" ht="12.75">
      <c r="A7" s="1640"/>
      <c r="B7" s="1640" t="s">
        <v>322</v>
      </c>
      <c r="C7" s="1640"/>
      <c r="D7" s="1640"/>
      <c r="E7" s="1640"/>
      <c r="F7" s="1649">
        <v>12737242.967232866</v>
      </c>
      <c r="G7" s="1650">
        <v>11252107.58635873</v>
      </c>
    </row>
    <row r="8" spans="1:7" ht="12.75">
      <c r="A8" s="1640"/>
      <c r="B8" s="1640" t="s">
        <v>323</v>
      </c>
      <c r="C8" s="1640"/>
      <c r="D8" s="1640"/>
      <c r="E8" s="1640"/>
      <c r="F8" s="1649"/>
      <c r="G8" s="1642"/>
    </row>
    <row r="9" spans="1:7" ht="12.75">
      <c r="A9" s="1640"/>
      <c r="B9" s="1640"/>
      <c r="C9" s="1640" t="s">
        <v>324</v>
      </c>
      <c r="D9" s="1651"/>
      <c r="E9" s="1640"/>
      <c r="F9" s="1649">
        <v>11404332.919999998</v>
      </c>
      <c r="G9" s="1642">
        <v>11223444.940000001</v>
      </c>
    </row>
    <row r="10" spans="1:7" ht="12.75">
      <c r="A10" s="1640"/>
      <c r="B10" s="1640"/>
      <c r="C10" s="1640" t="s">
        <v>325</v>
      </c>
      <c r="D10" s="1651"/>
      <c r="E10" s="1640"/>
      <c r="F10" s="1649">
        <v>-7184.02</v>
      </c>
      <c r="G10" s="1642">
        <v>-155655.24</v>
      </c>
    </row>
    <row r="11" spans="1:7" ht="12.75">
      <c r="A11" s="1640"/>
      <c r="B11" s="1640"/>
      <c r="C11" s="1640" t="s">
        <v>326</v>
      </c>
      <c r="D11" s="1651"/>
      <c r="E11" s="1640"/>
      <c r="F11" s="1649">
        <v>0</v>
      </c>
      <c r="G11" s="1642">
        <v>0</v>
      </c>
    </row>
    <row r="12" spans="1:7" ht="12.75">
      <c r="A12" s="1640"/>
      <c r="B12" s="1640"/>
      <c r="C12" s="1640" t="s">
        <v>1080</v>
      </c>
      <c r="D12" s="1651"/>
      <c r="E12" s="1640"/>
      <c r="F12" s="1649">
        <v>-382403.47</v>
      </c>
      <c r="G12" s="1642">
        <v>-14252.71</v>
      </c>
    </row>
    <row r="13" spans="1:7" ht="12.75">
      <c r="A13" s="1640"/>
      <c r="B13" s="1640"/>
      <c r="C13" s="1640" t="s">
        <v>327</v>
      </c>
      <c r="D13" s="1651"/>
      <c r="E13" s="1640"/>
      <c r="F13" s="1649">
        <v>-386414.97</v>
      </c>
      <c r="G13" s="1642">
        <v>387854.75</v>
      </c>
    </row>
    <row r="14" spans="1:7" ht="12.75">
      <c r="A14" s="1640"/>
      <c r="B14" s="1640"/>
      <c r="C14" s="1640" t="s">
        <v>328</v>
      </c>
      <c r="D14" s="1651"/>
      <c r="E14" s="1640"/>
      <c r="F14" s="1649">
        <v>917982.19</v>
      </c>
      <c r="G14" s="1650">
        <v>0</v>
      </c>
    </row>
    <row r="15" spans="1:7" ht="12.75">
      <c r="A15" s="1640"/>
      <c r="B15" s="1652" t="s">
        <v>329</v>
      </c>
      <c r="C15" s="1651"/>
      <c r="D15" s="1640"/>
      <c r="E15" s="1640"/>
      <c r="F15" s="1649"/>
      <c r="G15" s="1642"/>
    </row>
    <row r="16" spans="1:7" ht="12.75">
      <c r="A16" s="1640"/>
      <c r="B16" s="1640"/>
      <c r="C16" s="1640" t="s">
        <v>330</v>
      </c>
      <c r="D16" s="1651"/>
      <c r="E16" s="1640"/>
      <c r="F16" s="1649">
        <v>-10933504.049999952</v>
      </c>
      <c r="G16" s="1650">
        <v>-7095674.25</v>
      </c>
    </row>
    <row r="17" spans="1:7" ht="12.75">
      <c r="A17" s="1640"/>
      <c r="B17" s="1640"/>
      <c r="C17" s="1640" t="s">
        <v>1074</v>
      </c>
      <c r="D17" s="1651"/>
      <c r="E17" s="1640"/>
      <c r="F17" s="1649">
        <v>2582479.22</v>
      </c>
      <c r="G17" s="1650">
        <v>3422951.81</v>
      </c>
    </row>
    <row r="18" spans="1:7" ht="12.75">
      <c r="A18" s="1640"/>
      <c r="B18" s="1640"/>
      <c r="C18" s="1640" t="s">
        <v>821</v>
      </c>
      <c r="D18" s="1651"/>
      <c r="E18" s="1640"/>
      <c r="F18" s="1649">
        <v>0</v>
      </c>
      <c r="G18" s="1650">
        <v>0</v>
      </c>
    </row>
    <row r="19" spans="1:7" ht="12.75">
      <c r="A19" s="1640"/>
      <c r="B19" s="1640"/>
      <c r="C19" s="1640" t="s">
        <v>1084</v>
      </c>
      <c r="D19" s="1651"/>
      <c r="E19" s="1640"/>
      <c r="F19" s="1649">
        <v>-6033774.110000014</v>
      </c>
      <c r="G19" s="1650">
        <v>-15186819.360000014</v>
      </c>
    </row>
    <row r="20" spans="1:7" ht="12.75">
      <c r="A20" s="1640"/>
      <c r="B20" s="1640"/>
      <c r="C20" s="1640" t="s">
        <v>298</v>
      </c>
      <c r="D20" s="1651"/>
      <c r="E20" s="1640"/>
      <c r="F20" s="1649">
        <v>-2186699.24</v>
      </c>
      <c r="G20" s="1650">
        <v>-4012916.28</v>
      </c>
    </row>
    <row r="21" spans="1:7" ht="12.75">
      <c r="A21" s="1640"/>
      <c r="B21" s="1640"/>
      <c r="C21" s="1640" t="s">
        <v>331</v>
      </c>
      <c r="D21" s="1651"/>
      <c r="E21" s="1640"/>
      <c r="F21" s="1649">
        <v>-1710779.36</v>
      </c>
      <c r="G21" s="1650">
        <v>580698.81</v>
      </c>
    </row>
    <row r="22" spans="1:7" ht="12.75">
      <c r="A22" s="1640"/>
      <c r="B22" s="1640"/>
      <c r="C22" s="1640" t="s">
        <v>332</v>
      </c>
      <c r="D22" s="1651"/>
      <c r="E22" s="1640"/>
      <c r="F22" s="1649">
        <v>-2772990.87</v>
      </c>
      <c r="G22" s="1642">
        <v>-4133547.89</v>
      </c>
    </row>
    <row r="23" spans="1:7" ht="12.75">
      <c r="A23" s="1640"/>
      <c r="B23" s="1640"/>
      <c r="C23" s="1640" t="s">
        <v>333</v>
      </c>
      <c r="D23" s="1651"/>
      <c r="E23" s="1640"/>
      <c r="F23" s="1649">
        <v>-66714496.31345999</v>
      </c>
      <c r="G23" s="1642">
        <v>4992957.449999988</v>
      </c>
    </row>
    <row r="24" spans="1:7" ht="12.75">
      <c r="A24" s="1640"/>
      <c r="B24" s="1640"/>
      <c r="C24" s="1640" t="s">
        <v>117</v>
      </c>
      <c r="D24" s="1651"/>
      <c r="E24" s="1640"/>
      <c r="F24" s="1649">
        <v>-828340.11</v>
      </c>
      <c r="G24" s="1642">
        <v>273208.23</v>
      </c>
    </row>
    <row r="25" spans="1:7" ht="12.75">
      <c r="A25" s="1640"/>
      <c r="B25" s="1640"/>
      <c r="C25" s="1640" t="s">
        <v>334</v>
      </c>
      <c r="D25" s="1651"/>
      <c r="E25" s="1640"/>
      <c r="F25" s="1649">
        <v>-2034790.77</v>
      </c>
      <c r="G25" s="1642">
        <v>1746150.69</v>
      </c>
    </row>
    <row r="26" spans="1:7" ht="12.75">
      <c r="A26" s="1640"/>
      <c r="B26" s="1640"/>
      <c r="C26" s="1640" t="s">
        <v>335</v>
      </c>
      <c r="D26" s="1651"/>
      <c r="E26" s="1640"/>
      <c r="F26" s="1649">
        <v>0</v>
      </c>
      <c r="G26" s="1642">
        <v>0</v>
      </c>
    </row>
    <row r="27" spans="1:7" ht="12.75">
      <c r="A27" s="1640"/>
      <c r="B27" s="1640"/>
      <c r="C27" s="1640" t="s">
        <v>87</v>
      </c>
      <c r="D27" s="1651"/>
      <c r="E27" s="1640"/>
      <c r="F27" s="1649">
        <v>5645001.483205609</v>
      </c>
      <c r="G27" s="1642">
        <v>5103977.510997057</v>
      </c>
    </row>
    <row r="28" spans="1:7" ht="12.75">
      <c r="A28" s="1640"/>
      <c r="B28" s="1640"/>
      <c r="C28" s="1653" t="s">
        <v>69</v>
      </c>
      <c r="D28" s="1651"/>
      <c r="E28" s="1653"/>
      <c r="F28" s="1649">
        <v>-704317.9700000063</v>
      </c>
      <c r="G28" s="1650">
        <v>-7710665.1499999985</v>
      </c>
    </row>
    <row r="29" spans="1:7" ht="12.75">
      <c r="A29" s="1640"/>
      <c r="B29" s="1640"/>
      <c r="C29" s="1654" t="s">
        <v>66</v>
      </c>
      <c r="D29" s="1651"/>
      <c r="E29" s="1653"/>
      <c r="F29" s="1649">
        <v>-1764567.62</v>
      </c>
      <c r="G29" s="1650">
        <v>1933649.09</v>
      </c>
    </row>
    <row r="30" spans="1:7" ht="12.75">
      <c r="A30" s="1640"/>
      <c r="B30" s="1640"/>
      <c r="C30" s="1640"/>
      <c r="D30" s="1640"/>
      <c r="E30" s="1655" t="s">
        <v>336</v>
      </c>
      <c r="F30" s="1656">
        <v>-63173224.0930215</v>
      </c>
      <c r="G30" s="1657">
        <v>2607469.987355763</v>
      </c>
    </row>
    <row r="31" spans="1:7" ht="21.75">
      <c r="A31" s="1640"/>
      <c r="B31" s="1640"/>
      <c r="C31" s="1640"/>
      <c r="D31" s="1640"/>
      <c r="E31" s="1640"/>
      <c r="F31" s="1658"/>
      <c r="G31" s="1650"/>
    </row>
    <row r="32" spans="1:7" ht="21.75">
      <c r="A32" s="1648" t="s">
        <v>395</v>
      </c>
      <c r="B32" s="1640"/>
      <c r="C32" s="1648"/>
      <c r="D32" s="1640"/>
      <c r="E32" s="1640"/>
      <c r="F32" s="1658"/>
      <c r="G32" s="1650"/>
    </row>
    <row r="33" spans="1:7" ht="15.75">
      <c r="A33" s="1648"/>
      <c r="B33" s="1640"/>
      <c r="C33" s="1640" t="s">
        <v>337</v>
      </c>
      <c r="D33" s="1651"/>
      <c r="E33" s="1640"/>
      <c r="F33" s="1649">
        <v>0</v>
      </c>
      <c r="G33" s="1642">
        <v>159553.76</v>
      </c>
    </row>
    <row r="34" spans="1:7" ht="12.75">
      <c r="A34" s="1640"/>
      <c r="B34" s="1640"/>
      <c r="C34" s="1640" t="s">
        <v>338</v>
      </c>
      <c r="D34" s="1651"/>
      <c r="E34" s="1640"/>
      <c r="F34" s="1649">
        <v>15231.79</v>
      </c>
      <c r="G34" s="1642">
        <v>-13662677.48</v>
      </c>
    </row>
    <row r="35" spans="1:7" ht="12.75">
      <c r="A35" s="1640"/>
      <c r="B35" s="1640"/>
      <c r="C35" s="1640" t="s">
        <v>396</v>
      </c>
      <c r="D35" s="1651"/>
      <c r="E35" s="1640"/>
      <c r="F35" s="1649">
        <v>-3190018.79</v>
      </c>
      <c r="G35" s="1642">
        <v>0</v>
      </c>
    </row>
    <row r="36" spans="1:7" ht="12.75">
      <c r="A36" s="1640"/>
      <c r="B36" s="1640"/>
      <c r="C36" s="1640" t="s">
        <v>339</v>
      </c>
      <c r="D36" s="1651"/>
      <c r="E36" s="1640"/>
      <c r="F36" s="1649">
        <v>0</v>
      </c>
      <c r="G36" s="1642">
        <v>0</v>
      </c>
    </row>
    <row r="37" spans="1:7" ht="12.75">
      <c r="A37" s="1640"/>
      <c r="B37" s="1640"/>
      <c r="C37" s="1640" t="s">
        <v>301</v>
      </c>
      <c r="D37" s="1651"/>
      <c r="E37" s="1640"/>
      <c r="F37" s="1649">
        <v>-83399.5</v>
      </c>
      <c r="G37" s="1642">
        <v>-42294</v>
      </c>
    </row>
    <row r="38" spans="1:7" ht="12.75">
      <c r="A38" s="1640"/>
      <c r="B38" s="1640"/>
      <c r="C38" s="1640" t="s">
        <v>305</v>
      </c>
      <c r="D38" s="1651"/>
      <c r="E38" s="1640"/>
      <c r="F38" s="1649">
        <v>0</v>
      </c>
      <c r="G38" s="1642">
        <v>0</v>
      </c>
    </row>
    <row r="39" spans="1:7" ht="12.75">
      <c r="A39" s="1640"/>
      <c r="B39" s="1640"/>
      <c r="C39" s="1640"/>
      <c r="D39" s="1640"/>
      <c r="E39" s="1655" t="s">
        <v>397</v>
      </c>
      <c r="F39" s="1656">
        <v>-3258186.5</v>
      </c>
      <c r="G39" s="1659">
        <v>-13545417.72</v>
      </c>
    </row>
    <row r="40" spans="1:7" ht="12.75">
      <c r="A40" s="1640"/>
      <c r="B40" s="1640"/>
      <c r="C40" s="1640"/>
      <c r="D40" s="1640"/>
      <c r="E40" s="1640"/>
      <c r="F40" s="1649"/>
      <c r="G40" s="1642"/>
    </row>
    <row r="41" spans="1:7" ht="15.75">
      <c r="A41" s="1648" t="s">
        <v>398</v>
      </c>
      <c r="B41" s="1640"/>
      <c r="C41" s="1648"/>
      <c r="D41" s="1640"/>
      <c r="E41" s="1640"/>
      <c r="F41" s="1649"/>
      <c r="G41" s="1642"/>
    </row>
    <row r="42" spans="1:7" ht="12.75">
      <c r="A42" s="1640"/>
      <c r="B42" s="1640"/>
      <c r="C42" s="1640" t="s">
        <v>340</v>
      </c>
      <c r="D42" s="1651"/>
      <c r="E42" s="1640"/>
      <c r="F42" s="1649">
        <v>0</v>
      </c>
      <c r="G42" s="1642">
        <v>0</v>
      </c>
    </row>
    <row r="43" spans="1:7" ht="12.75">
      <c r="A43" s="1640"/>
      <c r="B43" s="1640"/>
      <c r="C43" s="1640" t="s">
        <v>399</v>
      </c>
      <c r="D43" s="1651"/>
      <c r="E43" s="1640"/>
      <c r="F43" s="1649">
        <v>-226553.8</v>
      </c>
      <c r="G43" s="1642">
        <v>-493728.02</v>
      </c>
    </row>
    <row r="44" spans="1:7" ht="12.75">
      <c r="A44" s="1640"/>
      <c r="B44" s="1640"/>
      <c r="C44" s="1640" t="s">
        <v>341</v>
      </c>
      <c r="D44" s="1651"/>
      <c r="E44" s="1640"/>
      <c r="F44" s="1649">
        <v>0</v>
      </c>
      <c r="G44" s="1642">
        <v>0</v>
      </c>
    </row>
    <row r="45" spans="1:7" ht="12.75">
      <c r="A45" s="1640"/>
      <c r="B45" s="1640"/>
      <c r="C45" s="1640"/>
      <c r="D45" s="1640"/>
      <c r="E45" s="1655" t="s">
        <v>400</v>
      </c>
      <c r="F45" s="1656">
        <v>-226553.8</v>
      </c>
      <c r="G45" s="1657">
        <v>-493728.02</v>
      </c>
    </row>
    <row r="46" spans="1:7" ht="12.75">
      <c r="A46" s="1640"/>
      <c r="B46" s="1640" t="s">
        <v>401</v>
      </c>
      <c r="C46" s="1651"/>
      <c r="D46" s="1640"/>
      <c r="E46" s="1660"/>
      <c r="F46" s="1656">
        <v>-14272.085469038158</v>
      </c>
      <c r="G46" s="1657">
        <v>-10154.64</v>
      </c>
    </row>
    <row r="47" spans="1:7" ht="12.75">
      <c r="A47" s="1652" t="s">
        <v>342</v>
      </c>
      <c r="B47" s="1640"/>
      <c r="C47" s="1651"/>
      <c r="D47" s="1640"/>
      <c r="E47" s="1640"/>
      <c r="F47" s="1649">
        <v>-66672236.47849053</v>
      </c>
      <c r="G47" s="1650">
        <v>-11441830.392644238</v>
      </c>
    </row>
    <row r="48" spans="1:7" ht="12.75">
      <c r="A48" s="1652" t="s">
        <v>343</v>
      </c>
      <c r="B48" s="1640"/>
      <c r="C48" s="1651"/>
      <c r="D48" s="1640"/>
      <c r="E48" s="1640"/>
      <c r="F48" s="1649">
        <v>160683166.49000007</v>
      </c>
      <c r="G48" s="1642">
        <v>115390467.79</v>
      </c>
    </row>
    <row r="49" spans="1:7" ht="12.75">
      <c r="A49" s="1652"/>
      <c r="B49" s="1661" t="s">
        <v>344</v>
      </c>
      <c r="C49" s="1651"/>
      <c r="D49" s="1640"/>
      <c r="E49" s="1640"/>
      <c r="F49" s="1649">
        <v>14272.085469038158</v>
      </c>
      <c r="G49" s="1650">
        <v>10154.64</v>
      </c>
    </row>
    <row r="50" spans="1:7" ht="13.5" thickBot="1">
      <c r="A50" s="1652" t="s">
        <v>345</v>
      </c>
      <c r="B50" s="1640"/>
      <c r="C50" s="1651"/>
      <c r="D50" s="1640"/>
      <c r="E50" s="1640"/>
      <c r="F50" s="1662">
        <v>94025202.09697857</v>
      </c>
      <c r="G50" s="1663">
        <v>103958792.03735577</v>
      </c>
    </row>
    <row r="51" spans="1:7" ht="13.5" thickTop="1">
      <c r="A51" s="1640"/>
      <c r="B51" s="1640"/>
      <c r="C51" s="1640"/>
      <c r="D51" s="1640"/>
      <c r="E51" s="1640"/>
      <c r="F51" s="1649"/>
      <c r="G51" s="1642"/>
    </row>
    <row r="52" spans="1:7" ht="12.75">
      <c r="A52" s="1652" t="s">
        <v>346</v>
      </c>
      <c r="B52" s="1640"/>
      <c r="C52" s="1640"/>
      <c r="D52" s="1651"/>
      <c r="E52" s="1651"/>
      <c r="F52" s="1649"/>
      <c r="G52" s="1642"/>
    </row>
    <row r="53" spans="1:7" ht="12.75">
      <c r="A53" s="1652"/>
      <c r="B53" s="1640" t="s">
        <v>347</v>
      </c>
      <c r="C53" s="1640"/>
      <c r="D53" s="1651"/>
      <c r="E53" s="1651"/>
      <c r="F53" s="1641">
        <v>50000</v>
      </c>
      <c r="G53" s="1642">
        <v>50000</v>
      </c>
    </row>
    <row r="54" spans="1:7" ht="12.75">
      <c r="A54" s="1652"/>
      <c r="B54" s="1640" t="s">
        <v>348</v>
      </c>
      <c r="C54" s="1640"/>
      <c r="D54" s="1651"/>
      <c r="E54" s="1651"/>
      <c r="F54" s="1641">
        <v>93975202.09697857</v>
      </c>
      <c r="G54" s="1642">
        <v>103908792.04</v>
      </c>
    </row>
    <row r="55" spans="1:7" ht="13.5" thickBot="1">
      <c r="A55" s="1652"/>
      <c r="B55" s="1640"/>
      <c r="C55" s="1640"/>
      <c r="D55" s="1651"/>
      <c r="E55" s="1651"/>
      <c r="F55" s="1664">
        <v>94025202.09697857</v>
      </c>
      <c r="G55" s="1665">
        <v>103958792.03735577</v>
      </c>
    </row>
    <row r="56" spans="1:7" ht="13.5" thickTop="1">
      <c r="A56" s="1652"/>
      <c r="B56" s="1640"/>
      <c r="C56" s="1640"/>
      <c r="D56" s="1651"/>
      <c r="E56" s="1651"/>
      <c r="F56" s="1641"/>
      <c r="G56" s="1642"/>
    </row>
    <row r="57" spans="1:7" ht="12.75">
      <c r="A57" s="1640"/>
      <c r="B57" s="1640"/>
      <c r="C57" s="1640"/>
      <c r="D57" s="1640"/>
      <c r="E57" s="1666" t="s">
        <v>349</v>
      </c>
      <c r="F57" s="1649">
        <v>94025202.10000002</v>
      </c>
      <c r="G57" s="1650">
        <v>103958792.04</v>
      </c>
    </row>
    <row r="58" spans="1:7" ht="12.75">
      <c r="A58" s="1667"/>
      <c r="B58" s="1667"/>
      <c r="C58" s="1667"/>
      <c r="D58" s="1667"/>
      <c r="E58" s="1668" t="s">
        <v>350</v>
      </c>
      <c r="F58" s="1669">
        <v>-0.003021448850631714</v>
      </c>
      <c r="G58" s="1670">
        <v>-0.0026442408561706543</v>
      </c>
    </row>
    <row r="59" spans="1:7" ht="12.75">
      <c r="A59" s="1652" t="s">
        <v>351</v>
      </c>
      <c r="B59" s="1640"/>
      <c r="C59" s="1640"/>
      <c r="D59" s="1651"/>
      <c r="E59" s="1651"/>
      <c r="F59" s="1641"/>
      <c r="G59" s="1642"/>
    </row>
    <row r="60" spans="1:7" ht="12.75">
      <c r="A60" s="1640"/>
      <c r="B60" s="1640" t="s">
        <v>352</v>
      </c>
      <c r="C60" s="1640"/>
      <c r="D60" s="1651"/>
      <c r="E60" s="1651"/>
      <c r="F60" s="1641">
        <v>48741.2</v>
      </c>
      <c r="G60" s="1642">
        <v>74595.45</v>
      </c>
    </row>
    <row r="61" spans="1:7" ht="12.75">
      <c r="A61" s="1640"/>
      <c r="B61" s="1640" t="s">
        <v>353</v>
      </c>
      <c r="C61" s="1640"/>
      <c r="D61" s="1651"/>
      <c r="E61" s="1651"/>
      <c r="F61" s="1641">
        <v>186676.84</v>
      </c>
      <c r="G61" s="1642">
        <v>221964.09</v>
      </c>
    </row>
    <row r="62" spans="1:7" ht="12.75">
      <c r="A62" s="1640"/>
      <c r="B62" s="1640"/>
      <c r="C62" s="1640"/>
      <c r="D62" s="1651"/>
      <c r="E62" s="1651"/>
      <c r="F62" s="1641"/>
      <c r="G62" s="1642"/>
    </row>
    <row r="63" spans="1:7" ht="12.75">
      <c r="A63" s="1652" t="s">
        <v>354</v>
      </c>
      <c r="B63" s="1640"/>
      <c r="C63" s="1640"/>
      <c r="D63" s="1651"/>
      <c r="E63" s="1651"/>
      <c r="F63" s="1641"/>
      <c r="G63" s="1642"/>
    </row>
    <row r="64" spans="1:7" ht="12.75">
      <c r="A64" s="1640"/>
      <c r="B64" s="1661" t="s">
        <v>355</v>
      </c>
      <c r="C64" s="1640"/>
      <c r="D64" s="1651"/>
      <c r="E64" s="1651"/>
      <c r="F64" s="1649">
        <v>0</v>
      </c>
      <c r="G64" s="1642">
        <v>0</v>
      </c>
    </row>
    <row r="65" spans="1:7" ht="12.75">
      <c r="A65" s="1640"/>
      <c r="B65" s="1640"/>
      <c r="C65" s="1640"/>
      <c r="D65" s="1651"/>
      <c r="E65" s="1651"/>
      <c r="F65" s="1641"/>
      <c r="G65" s="1642"/>
    </row>
    <row r="66" spans="1:7" ht="12.75">
      <c r="A66" s="1652" t="s">
        <v>356</v>
      </c>
      <c r="B66" s="1640"/>
      <c r="C66" s="1640" t="s">
        <v>357</v>
      </c>
      <c r="D66" s="1651"/>
      <c r="E66" s="1651"/>
      <c r="F66" s="1641"/>
      <c r="G66" s="1642">
        <v>0</v>
      </c>
    </row>
    <row r="67" spans="1:7" ht="12.75">
      <c r="A67" s="1640"/>
      <c r="B67" s="1640"/>
      <c r="C67" s="1640" t="s">
        <v>358</v>
      </c>
      <c r="D67" s="1651"/>
      <c r="E67" s="1651"/>
      <c r="F67" s="1641"/>
      <c r="G67" s="1642">
        <v>0</v>
      </c>
    </row>
    <row r="68" spans="1:7" ht="13.5" thickBot="1">
      <c r="A68" s="1640"/>
      <c r="B68" s="1640"/>
      <c r="C68" s="1640" t="s">
        <v>359</v>
      </c>
      <c r="D68" s="1651"/>
      <c r="E68" s="1651"/>
      <c r="F68" s="1649">
        <v>186676.84</v>
      </c>
      <c r="G68" s="1642">
        <v>221964.09</v>
      </c>
    </row>
    <row r="69" spans="1:7" ht="13.5" thickBot="1">
      <c r="A69" s="1640"/>
      <c r="B69" s="1640"/>
      <c r="C69" s="1640"/>
      <c r="D69" s="1640"/>
      <c r="E69" s="1640"/>
      <c r="F69" s="1671">
        <v>186676.84</v>
      </c>
      <c r="G69" s="1672">
        <v>221964.09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74"/>
  <sheetViews>
    <sheetView workbookViewId="0" topLeftCell="A1">
      <pane xSplit="3" ySplit="5" topLeftCell="J7" activePane="bottomRight" state="frozen"/>
      <selection pane="topLeft" activeCell="G30" sqref="G30"/>
      <selection pane="topRight" activeCell="G30" sqref="G30"/>
      <selection pane="bottomLeft" activeCell="G30" sqref="G30"/>
      <selection pane="bottomRight" activeCell="G30" sqref="G30"/>
    </sheetView>
  </sheetViews>
  <sheetFormatPr defaultColWidth="9.140625" defaultRowHeight="21.75"/>
  <cols>
    <col min="1" max="1" width="8.7109375" style="51" customWidth="1"/>
    <col min="2" max="2" width="36.7109375" style="51" customWidth="1"/>
    <col min="3" max="3" width="8.00390625" style="5" customWidth="1"/>
    <col min="4" max="4" width="13.57421875" style="647" bestFit="1" customWidth="1"/>
    <col min="5" max="5" width="7.8515625" style="54" bestFit="1" customWidth="1"/>
    <col min="6" max="7" width="10.140625" style="54" customWidth="1"/>
    <col min="8" max="8" width="16.00390625" style="659" customWidth="1"/>
    <col min="9" max="9" width="14.57421875" style="61" customWidth="1"/>
    <col min="10" max="10" width="14.57421875" style="54" bestFit="1" customWidth="1"/>
    <col min="11" max="11" width="11.7109375" style="54" bestFit="1" customWidth="1"/>
    <col min="12" max="12" width="7.57421875" style="62" bestFit="1" customWidth="1"/>
    <col min="13" max="13" width="11.7109375" style="62" bestFit="1" customWidth="1"/>
    <col min="14" max="14" width="7.57421875" style="62" bestFit="1" customWidth="1"/>
    <col min="15" max="15" width="7.57421875" style="1177" customWidth="1"/>
    <col min="16" max="16" width="12.8515625" style="336" bestFit="1" customWidth="1"/>
    <col min="17" max="17" width="13.28125" style="51" bestFit="1" customWidth="1"/>
    <col min="18" max="16384" width="9.140625" style="51" customWidth="1"/>
  </cols>
  <sheetData>
    <row r="1" spans="1:9" ht="11.25">
      <c r="A1" s="60" t="s">
        <v>485</v>
      </c>
      <c r="B1" s="60"/>
      <c r="C1" s="7"/>
      <c r="D1" s="686" t="s">
        <v>751</v>
      </c>
      <c r="H1" s="1100" t="s">
        <v>1120</v>
      </c>
      <c r="I1" s="686" t="s">
        <v>1120</v>
      </c>
    </row>
    <row r="2" spans="1:16" s="3" customFormat="1" ht="11.25">
      <c r="A2" s="56"/>
      <c r="B2" s="163"/>
      <c r="C2" s="56"/>
      <c r="D2" s="1055" t="s">
        <v>579</v>
      </c>
      <c r="E2" s="1686" t="s">
        <v>486</v>
      </c>
      <c r="F2" s="1699"/>
      <c r="G2" s="1700"/>
      <c r="H2" s="1109" t="str">
        <f>D2</f>
        <v>Quarter 1'08</v>
      </c>
      <c r="I2" s="129" t="s">
        <v>818</v>
      </c>
      <c r="J2" s="368" t="s">
        <v>954</v>
      </c>
      <c r="K2" s="1690" t="s">
        <v>487</v>
      </c>
      <c r="L2" s="1691"/>
      <c r="M2" s="1690" t="s">
        <v>487</v>
      </c>
      <c r="N2" s="1691"/>
      <c r="O2" s="1175"/>
      <c r="P2" s="336"/>
    </row>
    <row r="3" spans="1:16" s="3" customFormat="1" ht="11.25">
      <c r="A3" s="57" t="s">
        <v>488</v>
      </c>
      <c r="B3" s="165"/>
      <c r="C3" s="687"/>
      <c r="D3" s="1056">
        <v>39538</v>
      </c>
      <c r="E3" s="1688" t="s">
        <v>489</v>
      </c>
      <c r="F3" s="1701"/>
      <c r="G3" s="1702"/>
      <c r="H3" s="1110">
        <f>D3</f>
        <v>39538</v>
      </c>
      <c r="I3" s="130">
        <v>39172</v>
      </c>
      <c r="J3" s="369">
        <v>39447</v>
      </c>
      <c r="K3" s="1692" t="s">
        <v>490</v>
      </c>
      <c r="L3" s="1693"/>
      <c r="M3" s="1692" t="s">
        <v>490</v>
      </c>
      <c r="N3" s="1693"/>
      <c r="O3" s="1175"/>
      <c r="P3" s="336"/>
    </row>
    <row r="4" spans="1:16" s="3" customFormat="1" ht="11.25">
      <c r="A4" s="58" t="s">
        <v>491</v>
      </c>
      <c r="B4" s="167" t="s">
        <v>492</v>
      </c>
      <c r="C4" s="58" t="s">
        <v>493</v>
      </c>
      <c r="D4" s="1057" t="s">
        <v>869</v>
      </c>
      <c r="E4" s="168" t="s">
        <v>494</v>
      </c>
      <c r="F4" s="169" t="s">
        <v>495</v>
      </c>
      <c r="G4" s="170" t="s">
        <v>496</v>
      </c>
      <c r="H4" s="1111" t="s">
        <v>869</v>
      </c>
      <c r="I4" s="960" t="s">
        <v>869</v>
      </c>
      <c r="J4" s="689" t="s">
        <v>885</v>
      </c>
      <c r="K4" s="1694" t="s">
        <v>133</v>
      </c>
      <c r="L4" s="1706"/>
      <c r="M4" s="1694" t="s">
        <v>137</v>
      </c>
      <c r="N4" s="1695"/>
      <c r="O4" s="1175"/>
      <c r="P4" s="958" t="s">
        <v>136</v>
      </c>
    </row>
    <row r="5" spans="1:16" s="3" customFormat="1" ht="11.25">
      <c r="A5" s="171"/>
      <c r="B5" s="135"/>
      <c r="C5" s="135"/>
      <c r="D5" s="1058" t="s">
        <v>497</v>
      </c>
      <c r="E5" s="172" t="s">
        <v>498</v>
      </c>
      <c r="F5" s="170" t="s">
        <v>497</v>
      </c>
      <c r="G5" s="170" t="s">
        <v>497</v>
      </c>
      <c r="H5" s="1112" t="s">
        <v>497</v>
      </c>
      <c r="I5" s="84" t="s">
        <v>497</v>
      </c>
      <c r="J5" s="85" t="s">
        <v>497</v>
      </c>
      <c r="K5" s="170" t="s">
        <v>499</v>
      </c>
      <c r="L5" s="173" t="s">
        <v>500</v>
      </c>
      <c r="M5" s="170" t="s">
        <v>499</v>
      </c>
      <c r="N5" s="1181" t="s">
        <v>500</v>
      </c>
      <c r="O5" s="1176"/>
      <c r="P5" s="336"/>
    </row>
    <row r="6" spans="1:14" ht="11.25">
      <c r="A6" s="106"/>
      <c r="B6" s="20" t="s">
        <v>630</v>
      </c>
      <c r="C6" s="11"/>
      <c r="D6" s="652"/>
      <c r="E6" s="88"/>
      <c r="F6" s="153"/>
      <c r="G6" s="153"/>
      <c r="H6" s="658"/>
      <c r="I6" s="724"/>
      <c r="J6" s="690"/>
      <c r="K6" s="944"/>
      <c r="L6" s="16"/>
      <c r="M6" s="944"/>
      <c r="N6" s="1171"/>
    </row>
    <row r="7" spans="1:15" ht="11.25">
      <c r="A7" s="109"/>
      <c r="B7" s="23" t="s">
        <v>631</v>
      </c>
      <c r="C7" s="181"/>
      <c r="D7" s="1116"/>
      <c r="E7" s="1117"/>
      <c r="F7" s="1118"/>
      <c r="G7" s="1118"/>
      <c r="H7" s="1119"/>
      <c r="I7" s="724"/>
      <c r="J7" s="370"/>
      <c r="K7" s="944">
        <f>IF(I7&lt;&gt;0,(+I7-J7)/1000,IF(J7&lt;&gt;0,(+I7-J7)/1000,""))</f>
      </c>
      <c r="L7" s="112">
        <f>IF(I7&lt;&gt;0,IF(J7=0,1,+K7/J7*100),IF(J7&lt;&gt;0,+K7/J7*100,""))</f>
      </c>
      <c r="M7" s="944"/>
      <c r="N7" s="1172"/>
      <c r="O7" s="1178"/>
    </row>
    <row r="8" spans="1:16" ht="11.25">
      <c r="A8" s="109"/>
      <c r="B8" s="1113" t="s">
        <v>128</v>
      </c>
      <c r="C8" s="691" t="s">
        <v>632</v>
      </c>
      <c r="D8" s="1116">
        <f>'3000'!D32</f>
        <v>94025202.10000002</v>
      </c>
      <c r="E8" s="1120"/>
      <c r="F8" s="1116">
        <f>'3000'!F32</f>
        <v>20975595.91</v>
      </c>
      <c r="G8" s="1116"/>
      <c r="H8" s="1119">
        <f aca="true" t="shared" si="0" ref="H8:H14">D8+F8-G8</f>
        <v>115000798.01000002</v>
      </c>
      <c r="I8" s="504">
        <v>103958792.04000002</v>
      </c>
      <c r="J8" s="692">
        <v>160683166</v>
      </c>
      <c r="K8" s="187">
        <f aca="true" t="shared" si="1" ref="K8:K14">(H8-J8)/1000</f>
        <v>-45682.36798999998</v>
      </c>
      <c r="L8" s="679">
        <f aca="true" t="shared" si="2" ref="L8:L14">K8/J8*1000</f>
        <v>-0.28430089552753757</v>
      </c>
      <c r="M8" s="655">
        <f>(H8-I8)/1000</f>
        <v>11042.005969999998</v>
      </c>
      <c r="N8" s="1173">
        <f aca="true" t="shared" si="3" ref="N8:N14">M8/I8*1000</f>
        <v>0.10621522002440532</v>
      </c>
      <c r="O8" s="1179"/>
      <c r="P8" s="1297">
        <f aca="true" t="shared" si="4" ref="P8:P14">ROUND(H8,0)</f>
        <v>115000798</v>
      </c>
    </row>
    <row r="9" spans="1:16" ht="11.25">
      <c r="A9" s="109"/>
      <c r="B9" s="1113" t="s">
        <v>129</v>
      </c>
      <c r="C9" s="691" t="s">
        <v>633</v>
      </c>
      <c r="D9" s="1116">
        <f>'3700'!D16</f>
        <v>1429082.65</v>
      </c>
      <c r="E9" s="1120"/>
      <c r="F9" s="1116"/>
      <c r="G9" s="1116"/>
      <c r="H9" s="1119">
        <f t="shared" si="0"/>
        <v>1429082.65</v>
      </c>
      <c r="I9" s="504">
        <v>1368132.35</v>
      </c>
      <c r="J9" s="692">
        <v>1429083</v>
      </c>
      <c r="K9" s="187">
        <f t="shared" si="1"/>
        <v>-0.00035000000009313226</v>
      </c>
      <c r="L9" s="679">
        <f t="shared" si="2"/>
        <v>-2.4491229697164706E-07</v>
      </c>
      <c r="M9" s="655">
        <f aca="true" t="shared" si="5" ref="M9:M14">(H9-I9)/1000</f>
        <v>60.950299999999814</v>
      </c>
      <c r="N9" s="1173">
        <f t="shared" si="3"/>
        <v>0.04455000278299085</v>
      </c>
      <c r="O9" s="1179"/>
      <c r="P9" s="1297">
        <f t="shared" si="4"/>
        <v>1429083</v>
      </c>
    </row>
    <row r="10" spans="1:16" ht="11.25">
      <c r="A10" s="109"/>
      <c r="B10" s="1114" t="s">
        <v>130</v>
      </c>
      <c r="C10" s="691" t="s">
        <v>634</v>
      </c>
      <c r="D10" s="1116">
        <f>'3200'!D20</f>
        <v>361839923.4</v>
      </c>
      <c r="E10" s="1121"/>
      <c r="F10" s="1116"/>
      <c r="G10" s="1116">
        <f>'3200'!G20</f>
        <v>0</v>
      </c>
      <c r="H10" s="1119">
        <f t="shared" si="0"/>
        <v>361839923.4</v>
      </c>
      <c r="I10" s="504">
        <v>275006185.46</v>
      </c>
      <c r="J10" s="340">
        <v>350524016</v>
      </c>
      <c r="K10" s="187">
        <f t="shared" si="1"/>
        <v>11315.907399999976</v>
      </c>
      <c r="L10" s="679">
        <f t="shared" si="2"/>
        <v>0.03228283051509936</v>
      </c>
      <c r="M10" s="655">
        <f t="shared" si="5"/>
        <v>86833.73793999999</v>
      </c>
      <c r="N10" s="1173">
        <f t="shared" si="3"/>
        <v>0.3157519449780888</v>
      </c>
      <c r="O10" s="1179"/>
      <c r="P10" s="1297">
        <f t="shared" si="4"/>
        <v>361839923</v>
      </c>
    </row>
    <row r="11" spans="1:16" ht="22.5">
      <c r="A11" s="109"/>
      <c r="B11" s="917" t="s">
        <v>131</v>
      </c>
      <c r="C11" s="693" t="s">
        <v>650</v>
      </c>
      <c r="D11" s="1116">
        <f>'3600'!D13</f>
        <v>4033057.6</v>
      </c>
      <c r="E11" s="1121"/>
      <c r="F11" s="1116"/>
      <c r="G11" s="1116"/>
      <c r="H11" s="1119">
        <f t="shared" si="0"/>
        <v>4033057.6</v>
      </c>
      <c r="I11" s="504">
        <v>5972380.03</v>
      </c>
      <c r="J11" s="385">
        <v>6615537</v>
      </c>
      <c r="K11" s="187">
        <f t="shared" si="1"/>
        <v>-2582.4793999999997</v>
      </c>
      <c r="L11" s="679">
        <f t="shared" si="2"/>
        <v>-0.39036580099242124</v>
      </c>
      <c r="M11" s="655">
        <f t="shared" si="5"/>
        <v>-1939.3224300000002</v>
      </c>
      <c r="N11" s="1173">
        <f t="shared" si="3"/>
        <v>-0.3247151755679553</v>
      </c>
      <c r="O11" s="1179"/>
      <c r="P11" s="1297">
        <f t="shared" si="4"/>
        <v>4033058</v>
      </c>
    </row>
    <row r="12" spans="1:16" ht="11.25">
      <c r="A12" s="109"/>
      <c r="B12" s="1113" t="s">
        <v>635</v>
      </c>
      <c r="C12" s="691" t="s">
        <v>636</v>
      </c>
      <c r="D12" s="1116">
        <f>'3400'!D21</f>
        <v>109771611.25</v>
      </c>
      <c r="E12" s="1121"/>
      <c r="F12" s="1116"/>
      <c r="G12" s="1116"/>
      <c r="H12" s="1119">
        <f t="shared" si="0"/>
        <v>109771611.25</v>
      </c>
      <c r="I12" s="504">
        <v>119390826.2</v>
      </c>
      <c r="J12" s="692">
        <v>103351422</v>
      </c>
      <c r="K12" s="187">
        <f t="shared" si="1"/>
        <v>6420.18925</v>
      </c>
      <c r="L12" s="679">
        <f t="shared" si="2"/>
        <v>0.06211998950532099</v>
      </c>
      <c r="M12" s="655">
        <f t="shared" si="5"/>
        <v>-9619.214950000003</v>
      </c>
      <c r="N12" s="1173">
        <f t="shared" si="3"/>
        <v>-0.08056912960704515</v>
      </c>
      <c r="O12" s="1179"/>
      <c r="P12" s="1297">
        <f t="shared" si="4"/>
        <v>109771611</v>
      </c>
    </row>
    <row r="13" spans="1:16" ht="11.25">
      <c r="A13" s="109"/>
      <c r="B13" s="1113" t="s">
        <v>132</v>
      </c>
      <c r="C13" s="691" t="s">
        <v>637</v>
      </c>
      <c r="D13" s="1116">
        <f>'3300'!D8</f>
        <v>8086072.55</v>
      </c>
      <c r="E13" s="1121"/>
      <c r="F13" s="1116"/>
      <c r="G13" s="1116"/>
      <c r="H13" s="1119">
        <f t="shared" si="0"/>
        <v>8086072.55</v>
      </c>
      <c r="I13" s="504">
        <v>11071948.8</v>
      </c>
      <c r="J13" s="692">
        <v>5899373</v>
      </c>
      <c r="K13" s="187">
        <f t="shared" si="1"/>
        <v>2186.69955</v>
      </c>
      <c r="L13" s="679">
        <f t="shared" si="2"/>
        <v>0.37066643353454676</v>
      </c>
      <c r="M13" s="655">
        <f t="shared" si="5"/>
        <v>-2985.8762500000007</v>
      </c>
      <c r="N13" s="1173">
        <f t="shared" si="3"/>
        <v>-0.26967937658815766</v>
      </c>
      <c r="O13" s="1179"/>
      <c r="P13" s="1297">
        <f t="shared" si="4"/>
        <v>8086073</v>
      </c>
    </row>
    <row r="14" spans="1:16" ht="11.25">
      <c r="A14" s="109"/>
      <c r="B14" s="1113" t="s">
        <v>533</v>
      </c>
      <c r="C14" s="691" t="s">
        <v>637</v>
      </c>
      <c r="D14" s="1116">
        <f>'3300'!D42</f>
        <v>5390125.57</v>
      </c>
      <c r="E14" s="1121"/>
      <c r="F14" s="1116"/>
      <c r="G14" s="1116"/>
      <c r="H14" s="1119">
        <f t="shared" si="0"/>
        <v>5390125.57</v>
      </c>
      <c r="I14" s="504">
        <v>4026262.96</v>
      </c>
      <c r="J14" s="692">
        <v>3679346</v>
      </c>
      <c r="K14" s="187">
        <f t="shared" si="1"/>
        <v>1710.7795700000004</v>
      </c>
      <c r="L14" s="679">
        <f t="shared" si="2"/>
        <v>0.46496838568593446</v>
      </c>
      <c r="M14" s="655">
        <f t="shared" si="5"/>
        <v>1363.8626100000004</v>
      </c>
      <c r="N14" s="1173">
        <f t="shared" si="3"/>
        <v>0.33874156346708173</v>
      </c>
      <c r="O14" s="1179"/>
      <c r="P14" s="1297">
        <f t="shared" si="4"/>
        <v>5390126</v>
      </c>
    </row>
    <row r="15" spans="1:16" ht="11.25">
      <c r="A15" s="109"/>
      <c r="B15" s="86"/>
      <c r="C15" s="181"/>
      <c r="D15" s="1116"/>
      <c r="E15" s="1121"/>
      <c r="F15" s="1116"/>
      <c r="G15" s="1116"/>
      <c r="H15" s="1119"/>
      <c r="I15" s="504"/>
      <c r="J15" s="692"/>
      <c r="K15" s="187"/>
      <c r="L15" s="679"/>
      <c r="M15" s="655"/>
      <c r="N15" s="1173"/>
      <c r="O15" s="1179"/>
      <c r="P15" s="1297"/>
    </row>
    <row r="16" spans="1:17" ht="11.25">
      <c r="A16" s="109"/>
      <c r="B16" s="208" t="s">
        <v>638</v>
      </c>
      <c r="C16" s="694"/>
      <c r="D16" s="1122">
        <f>SUM(D8:D15)</f>
        <v>584575075.12</v>
      </c>
      <c r="E16" s="1123"/>
      <c r="F16" s="1124">
        <f>SUM(F8:F15)</f>
        <v>20975595.91</v>
      </c>
      <c r="G16" s="1124">
        <f>SUM(G8:G15)</f>
        <v>0</v>
      </c>
      <c r="H16" s="1125">
        <f>SUM(H8:H14)</f>
        <v>605550671.0300001</v>
      </c>
      <c r="I16" s="965">
        <v>520794527.84</v>
      </c>
      <c r="J16" s="695">
        <f>SUM(J8:J14)</f>
        <v>632181943</v>
      </c>
      <c r="K16" s="603">
        <f>(H16-J16)/1000</f>
        <v>-26631.27196999991</v>
      </c>
      <c r="L16" s="745">
        <f>K16/J16*1000</f>
        <v>-0.04212596114913062</v>
      </c>
      <c r="M16" s="747">
        <f>(H16-I16)/1000</f>
        <v>84756.14319000012</v>
      </c>
      <c r="N16" s="1174">
        <f>M16/I16*1000</f>
        <v>0.16274392041238797</v>
      </c>
      <c r="O16" s="1179"/>
      <c r="P16" s="1297">
        <f>SUM(P8:P15)</f>
        <v>605550672</v>
      </c>
      <c r="Q16" s="663"/>
    </row>
    <row r="17" spans="1:16" ht="11.25">
      <c r="A17" s="109"/>
      <c r="B17" s="86"/>
      <c r="C17" s="181"/>
      <c r="D17" s="1116"/>
      <c r="E17" s="1121"/>
      <c r="F17" s="1116"/>
      <c r="G17" s="1116"/>
      <c r="H17" s="1119"/>
      <c r="I17" s="504"/>
      <c r="J17" s="692"/>
      <c r="K17" s="944"/>
      <c r="L17" s="112"/>
      <c r="M17" s="944"/>
      <c r="N17" s="1172"/>
      <c r="O17" s="1178"/>
      <c r="P17" s="1297"/>
    </row>
    <row r="18" spans="1:16" ht="11.25">
      <c r="A18" s="109"/>
      <c r="B18" s="218" t="s">
        <v>639</v>
      </c>
      <c r="C18" s="181"/>
      <c r="D18" s="1116"/>
      <c r="E18" s="1121"/>
      <c r="F18" s="1116"/>
      <c r="G18" s="1116"/>
      <c r="H18" s="1119"/>
      <c r="I18" s="504"/>
      <c r="J18" s="692"/>
      <c r="K18" s="944"/>
      <c r="L18" s="112"/>
      <c r="M18" s="944"/>
      <c r="N18" s="1172"/>
      <c r="O18" s="1178"/>
      <c r="P18" s="1297"/>
    </row>
    <row r="19" spans="1:16" ht="11.25">
      <c r="A19" s="109"/>
      <c r="B19" s="109" t="s">
        <v>640</v>
      </c>
      <c r="C19" s="691" t="s">
        <v>637</v>
      </c>
      <c r="D19" s="1116">
        <f>'3300'!D47</f>
        <v>581853.5</v>
      </c>
      <c r="E19" s="1121"/>
      <c r="F19" s="1116"/>
      <c r="G19" s="1116"/>
      <c r="H19" s="1119">
        <f>D19+F19-G19</f>
        <v>581853.5</v>
      </c>
      <c r="I19" s="504">
        <v>469404</v>
      </c>
      <c r="J19" s="692">
        <v>498454</v>
      </c>
      <c r="K19" s="187">
        <f>(H19-J19)/1000</f>
        <v>83.3995</v>
      </c>
      <c r="L19" s="679">
        <f>K19/J19*1000</f>
        <v>0.16731634212986554</v>
      </c>
      <c r="M19" s="655">
        <f>(H19-I19)/1000</f>
        <v>112.4495</v>
      </c>
      <c r="N19" s="1173">
        <f>M19/I19*1000</f>
        <v>0.23955803529582195</v>
      </c>
      <c r="O19" s="1179"/>
      <c r="P19" s="1297">
        <f>ROUND(H19,0)</f>
        <v>581854</v>
      </c>
    </row>
    <row r="20" spans="1:16" ht="11.25">
      <c r="A20" s="109"/>
      <c r="B20" s="86" t="s">
        <v>641</v>
      </c>
      <c r="C20" s="691" t="s">
        <v>642</v>
      </c>
      <c r="D20" s="1116">
        <f>TB!F162</f>
        <v>270986778.41000015</v>
      </c>
      <c r="E20" s="1126"/>
      <c r="F20" s="1116"/>
      <c r="G20" s="1116"/>
      <c r="H20" s="1119">
        <f>D20+F20-G20</f>
        <v>270986778.41000015</v>
      </c>
      <c r="I20" s="504">
        <v>289264718.89000005</v>
      </c>
      <c r="J20" s="692">
        <v>278953436</v>
      </c>
      <c r="K20" s="187">
        <f>(H20-J20)/1000</f>
        <v>-7966.657589999854</v>
      </c>
      <c r="L20" s="679">
        <f>K20/J20*1000</f>
        <v>-0.02855909467987286</v>
      </c>
      <c r="M20" s="655">
        <f>(H20-I20)/1000</f>
        <v>-18277.9404799999</v>
      </c>
      <c r="N20" s="1173">
        <f>M20/I20*1000</f>
        <v>-0.06318759007368102</v>
      </c>
      <c r="O20" s="1179"/>
      <c r="P20" s="1297">
        <f>ROUND(H20,0)</f>
        <v>270986778</v>
      </c>
    </row>
    <row r="21" spans="1:16" ht="11.25">
      <c r="A21" s="109"/>
      <c r="B21" s="86" t="s">
        <v>646</v>
      </c>
      <c r="C21" s="691" t="s">
        <v>642</v>
      </c>
      <c r="D21" s="1116">
        <f>TB!E363</f>
        <v>5100052.22</v>
      </c>
      <c r="E21" s="1126"/>
      <c r="F21" s="1116"/>
      <c r="G21" s="1116"/>
      <c r="H21" s="1119">
        <f>D21+F21-G21</f>
        <v>5100052.22</v>
      </c>
      <c r="I21" s="504">
        <v>6128489.58</v>
      </c>
      <c r="J21" s="692">
        <v>5355757</v>
      </c>
      <c r="K21" s="187">
        <f>(H21-J21)/1000</f>
        <v>-255.70478000000026</v>
      </c>
      <c r="L21" s="679">
        <f>K21/J21*1000</f>
        <v>-0.04774390996454848</v>
      </c>
      <c r="M21" s="655">
        <f>(H21-I21)/1000</f>
        <v>-1028.4373600000004</v>
      </c>
      <c r="N21" s="1173">
        <f>M21/I21*1000</f>
        <v>-0.16781253301894336</v>
      </c>
      <c r="O21" s="1179"/>
      <c r="P21" s="1297">
        <f>ROUND(H21,0)+1</f>
        <v>5100053</v>
      </c>
    </row>
    <row r="22" spans="1:16" ht="11.25">
      <c r="A22" s="109"/>
      <c r="B22" s="109" t="s">
        <v>134</v>
      </c>
      <c r="C22" s="691" t="s">
        <v>637</v>
      </c>
      <c r="D22" s="1116">
        <f>'3300'!D63</f>
        <v>104782995</v>
      </c>
      <c r="E22" s="1120"/>
      <c r="F22" s="1116"/>
      <c r="G22" s="1116"/>
      <c r="H22" s="1119">
        <f>D22+F22-G22</f>
        <v>104782995</v>
      </c>
      <c r="I22" s="504">
        <v>104782995</v>
      </c>
      <c r="J22" s="692">
        <v>104782995</v>
      </c>
      <c r="K22" s="187">
        <f>(H22-J22)/1000</f>
        <v>0</v>
      </c>
      <c r="L22" s="679">
        <f>K22/J22*1000</f>
        <v>0</v>
      </c>
      <c r="M22" s="655">
        <f>(H22-I22)/1000</f>
        <v>0</v>
      </c>
      <c r="N22" s="1173">
        <f>M22/I22*1000</f>
        <v>0</v>
      </c>
      <c r="O22" s="1179"/>
      <c r="P22" s="1297">
        <f>ROUND(H22,0)</f>
        <v>104782995</v>
      </c>
    </row>
    <row r="23" spans="1:16" ht="11.25">
      <c r="A23" s="109"/>
      <c r="B23" s="109" t="s">
        <v>901</v>
      </c>
      <c r="C23" s="691" t="s">
        <v>637</v>
      </c>
      <c r="D23" s="1116">
        <f>'3300'!D54</f>
        <v>477326.22</v>
      </c>
      <c r="E23" s="1120"/>
      <c r="F23" s="1116"/>
      <c r="G23" s="1116"/>
      <c r="H23" s="1119">
        <f>D23+F23-G23</f>
        <v>477326.22</v>
      </c>
      <c r="I23" s="504">
        <v>555989.77</v>
      </c>
      <c r="J23" s="692">
        <v>477326</v>
      </c>
      <c r="K23" s="187">
        <f>(H23-J23)/1000</f>
        <v>0.00021999999997206033</v>
      </c>
      <c r="L23" s="679">
        <f>K23/J23*1000</f>
        <v>4.609009355703656E-07</v>
      </c>
      <c r="M23" s="655">
        <f>(H23-I23)/1000</f>
        <v>-78.66355000000004</v>
      </c>
      <c r="N23" s="1173">
        <f>M23/I23*1000</f>
        <v>-0.14148380823625592</v>
      </c>
      <c r="O23" s="1179"/>
      <c r="P23" s="1297">
        <f>ROUND(H23,0)</f>
        <v>477326</v>
      </c>
    </row>
    <row r="24" spans="1:15" ht="11.25">
      <c r="A24" s="109"/>
      <c r="B24" s="86"/>
      <c r="C24" s="181"/>
      <c r="D24" s="1116"/>
      <c r="E24" s="1127"/>
      <c r="F24" s="1118"/>
      <c r="G24" s="1118"/>
      <c r="H24" s="1128"/>
      <c r="I24" s="504"/>
      <c r="J24" s="692"/>
      <c r="K24" s="944">
        <f>IF(I24&lt;&gt;0,(+I24-J24)/1000,IF(J24&lt;&gt;0,(+I24-J24)/1000,""))</f>
      </c>
      <c r="L24" s="112"/>
      <c r="M24" s="944"/>
      <c r="N24" s="1172"/>
      <c r="O24" s="1178"/>
    </row>
    <row r="25" spans="1:16" ht="11.25">
      <c r="A25" s="109"/>
      <c r="B25" s="1115" t="s">
        <v>135</v>
      </c>
      <c r="C25" s="694"/>
      <c r="D25" s="1129">
        <f>SUM(D19:D24)</f>
        <v>381929005.3500002</v>
      </c>
      <c r="E25" s="1130"/>
      <c r="F25" s="1131">
        <f>SUM(F19:F24)</f>
        <v>0</v>
      </c>
      <c r="G25" s="1131">
        <f>SUM(G19:G24)</f>
        <v>0</v>
      </c>
      <c r="H25" s="1132">
        <f>SUM(H19:H23)</f>
        <v>381929005.3500002</v>
      </c>
      <c r="I25" s="966">
        <v>401201597.24</v>
      </c>
      <c r="J25" s="969">
        <f>SUM(J19:J23)</f>
        <v>390067968</v>
      </c>
      <c r="K25" s="603">
        <f>(H25-J25)/1000</f>
        <v>-8138.962649999798</v>
      </c>
      <c r="L25" s="745">
        <f>K25/J25*1000</f>
        <v>-0.02086549862510063</v>
      </c>
      <c r="M25" s="747">
        <f>(H25-I25)/1000</f>
        <v>-19272.591889999807</v>
      </c>
      <c r="N25" s="1174">
        <f>M25/I25*1000</f>
        <v>-0.048037176378614675</v>
      </c>
      <c r="O25" s="1179"/>
      <c r="P25" s="1094">
        <f>SUM(P19:P24)</f>
        <v>381929006</v>
      </c>
    </row>
    <row r="26" spans="1:15" ht="11.25">
      <c r="A26" s="109"/>
      <c r="B26" s="22"/>
      <c r="C26" s="181"/>
      <c r="D26" s="1118"/>
      <c r="E26" s="1127"/>
      <c r="F26" s="1118"/>
      <c r="G26" s="1118"/>
      <c r="H26" s="1128"/>
      <c r="I26" s="503"/>
      <c r="J26" s="692"/>
      <c r="K26" s="944">
        <f>IF(I26&lt;&gt;0,(+I26-J26)/1000,IF(J26&lt;&gt;0,(+I26-J26)/1000,""))</f>
      </c>
      <c r="L26" s="112">
        <f>IF(I26&lt;&gt;0,IF(J26=0,1,+K26/J26*1000),IF(J26&lt;&gt;0,+K26/J26*1000,""))</f>
      </c>
      <c r="M26" s="944"/>
      <c r="N26" s="1172"/>
      <c r="O26" s="1178"/>
    </row>
    <row r="27" spans="1:16" ht="11.25">
      <c r="A27" s="948"/>
      <c r="B27" s="948" t="s">
        <v>643</v>
      </c>
      <c r="C27" s="696"/>
      <c r="D27" s="1133">
        <f>D16+D25</f>
        <v>966504080.4700003</v>
      </c>
      <c r="E27" s="1134"/>
      <c r="F27" s="1135">
        <f>F16+F25</f>
        <v>20975595.91</v>
      </c>
      <c r="G27" s="1135">
        <f>G16+G25</f>
        <v>0</v>
      </c>
      <c r="H27" s="1136">
        <f>H16+H25</f>
        <v>987479676.3800004</v>
      </c>
      <c r="I27" s="517">
        <v>921996125.0799999</v>
      </c>
      <c r="J27" s="526">
        <f>SUM(J16,J25)</f>
        <v>1022249911</v>
      </c>
      <c r="K27" s="603">
        <f>(H27-J27)/1000</f>
        <v>-34770.23461999965</v>
      </c>
      <c r="L27" s="745">
        <f>K27/J27*1000</f>
        <v>-0.034013438637511065</v>
      </c>
      <c r="M27" s="747">
        <f>(H27-I27)/1000</f>
        <v>65483.55130000043</v>
      </c>
      <c r="N27" s="1174">
        <f>M27/I27*1000</f>
        <v>0.07102367300547878</v>
      </c>
      <c r="O27" s="1179"/>
      <c r="P27" s="1298">
        <f>P16+P25</f>
        <v>987479678</v>
      </c>
    </row>
    <row r="28" spans="1:13" ht="11.25">
      <c r="A28" s="104"/>
      <c r="B28" s="104"/>
      <c r="C28" s="291"/>
      <c r="D28" s="1137"/>
      <c r="E28" s="1138"/>
      <c r="F28" s="1138"/>
      <c r="G28" s="1138"/>
      <c r="H28" s="1137"/>
      <c r="J28" s="266"/>
      <c r="M28" s="54"/>
    </row>
    <row r="29" spans="1:16" s="3" customFormat="1" ht="11.25">
      <c r="A29" s="56"/>
      <c r="B29" s="163"/>
      <c r="C29" s="56"/>
      <c r="D29" s="1139" t="str">
        <f>D2</f>
        <v>Quarter 1'08</v>
      </c>
      <c r="E29" s="1703" t="s">
        <v>486</v>
      </c>
      <c r="F29" s="1704"/>
      <c r="G29" s="1705"/>
      <c r="H29" s="1139" t="str">
        <f>H2</f>
        <v>Quarter 1'08</v>
      </c>
      <c r="I29" s="129" t="s">
        <v>818</v>
      </c>
      <c r="J29" s="368" t="s">
        <v>954</v>
      </c>
      <c r="K29" s="1686" t="s">
        <v>487</v>
      </c>
      <c r="L29" s="1687"/>
      <c r="M29" s="1686" t="s">
        <v>487</v>
      </c>
      <c r="N29" s="1687"/>
      <c r="O29" s="1180"/>
      <c r="P29" s="336"/>
    </row>
    <row r="30" spans="1:16" s="3" customFormat="1" ht="11.25">
      <c r="A30" s="57" t="s">
        <v>488</v>
      </c>
      <c r="B30" s="165"/>
      <c r="C30" s="57"/>
      <c r="D30" s="1140">
        <f>D3</f>
        <v>39538</v>
      </c>
      <c r="E30" s="1696" t="s">
        <v>489</v>
      </c>
      <c r="F30" s="1697"/>
      <c r="G30" s="1698"/>
      <c r="H30" s="1140">
        <v>39538</v>
      </c>
      <c r="I30" s="130">
        <v>39172</v>
      </c>
      <c r="J30" s="369">
        <v>39447</v>
      </c>
      <c r="K30" s="1688" t="s">
        <v>490</v>
      </c>
      <c r="L30" s="1689"/>
      <c r="M30" s="1688" t="s">
        <v>490</v>
      </c>
      <c r="N30" s="1689"/>
      <c r="O30" s="1180"/>
      <c r="P30" s="336"/>
    </row>
    <row r="31" spans="1:16" s="3" customFormat="1" ht="11.25">
      <c r="A31" s="58" t="s">
        <v>491</v>
      </c>
      <c r="B31" s="167" t="s">
        <v>492</v>
      </c>
      <c r="C31" s="58" t="s">
        <v>493</v>
      </c>
      <c r="D31" s="1141" t="s">
        <v>869</v>
      </c>
      <c r="E31" s="1142" t="s">
        <v>494</v>
      </c>
      <c r="F31" s="1143" t="s">
        <v>495</v>
      </c>
      <c r="G31" s="1144" t="s">
        <v>496</v>
      </c>
      <c r="H31" s="1141" t="s">
        <v>869</v>
      </c>
      <c r="I31" s="960" t="s">
        <v>869</v>
      </c>
      <c r="J31" s="689" t="s">
        <v>885</v>
      </c>
      <c r="K31" s="169"/>
      <c r="L31" s="173"/>
      <c r="M31" s="169"/>
      <c r="N31" s="1181"/>
      <c r="O31" s="1176"/>
      <c r="P31" s="336"/>
    </row>
    <row r="32" spans="1:16" s="3" customFormat="1" ht="11.25">
      <c r="A32" s="171"/>
      <c r="B32" s="135"/>
      <c r="C32" s="135"/>
      <c r="D32" s="1145" t="s">
        <v>497</v>
      </c>
      <c r="E32" s="1146" t="s">
        <v>498</v>
      </c>
      <c r="F32" s="1144" t="s">
        <v>497</v>
      </c>
      <c r="G32" s="1144" t="s">
        <v>497</v>
      </c>
      <c r="H32" s="1145" t="s">
        <v>497</v>
      </c>
      <c r="I32" s="84" t="s">
        <v>497</v>
      </c>
      <c r="J32" s="85" t="s">
        <v>497</v>
      </c>
      <c r="K32" s="170" t="s">
        <v>499</v>
      </c>
      <c r="L32" s="173" t="s">
        <v>500</v>
      </c>
      <c r="M32" s="170" t="s">
        <v>499</v>
      </c>
      <c r="N32" s="1181" t="s">
        <v>500</v>
      </c>
      <c r="O32" s="1176"/>
      <c r="P32" s="336"/>
    </row>
    <row r="33" spans="1:14" ht="11.25">
      <c r="A33" s="106"/>
      <c r="B33" s="86" t="s">
        <v>644</v>
      </c>
      <c r="C33" s="11"/>
      <c r="D33" s="1118"/>
      <c r="E33" s="1117"/>
      <c r="F33" s="1118"/>
      <c r="G33" s="1118"/>
      <c r="H33" s="1292"/>
      <c r="I33" s="964"/>
      <c r="J33" s="359"/>
      <c r="K33" s="950"/>
      <c r="L33" s="16"/>
      <c r="M33" s="950"/>
      <c r="N33" s="1171"/>
    </row>
    <row r="34" spans="1:15" ht="11.25">
      <c r="A34" s="109"/>
      <c r="B34" s="218" t="s">
        <v>645</v>
      </c>
      <c r="C34" s="181"/>
      <c r="D34" s="1118"/>
      <c r="E34" s="1117"/>
      <c r="F34" s="1118"/>
      <c r="G34" s="1118"/>
      <c r="H34" s="1293"/>
      <c r="I34" s="964"/>
      <c r="J34" s="359"/>
      <c r="K34" s="950">
        <f>IF(I34&lt;&gt;0,(+I34-J34)/1000,IF(J34&lt;&gt;0,(+I34-J34)/1000,""))</f>
      </c>
      <c r="L34" s="112">
        <f>IF(I34&lt;&gt;0,IF(J34=0,1,+K34/J34*100),IF(J34&lt;&gt;0,+K34/J34*100,""))</f>
      </c>
      <c r="M34" s="950"/>
      <c r="N34" s="1172"/>
      <c r="O34" s="1178"/>
    </row>
    <row r="35" spans="1:16" ht="11.25">
      <c r="A35" s="109"/>
      <c r="B35" s="206" t="s">
        <v>647</v>
      </c>
      <c r="C35" s="691" t="s">
        <v>650</v>
      </c>
      <c r="D35" s="1116">
        <f>'3600'!D31+'3600'!D32</f>
        <v>8060992.4</v>
      </c>
      <c r="E35" s="1147"/>
      <c r="F35" s="1118"/>
      <c r="G35" s="1118"/>
      <c r="H35" s="1294">
        <f aca="true" t="shared" si="6" ref="H35:H42">D35-F35+G35</f>
        <v>8060992.4</v>
      </c>
      <c r="I35" s="504">
        <v>5321324</v>
      </c>
      <c r="J35" s="303">
        <v>10833983</v>
      </c>
      <c r="K35" s="187">
        <f aca="true" t="shared" si="7" ref="K35:K42">(H35-J35)/1000</f>
        <v>-2772.9905999999996</v>
      </c>
      <c r="L35" s="679">
        <f aca="true" t="shared" si="8" ref="L35:L42">K35/J35*1000</f>
        <v>-0.2559530137715741</v>
      </c>
      <c r="M35" s="655">
        <f aca="true" t="shared" si="9" ref="M35:M42">(H35-I35)/1000</f>
        <v>2739.6684000000005</v>
      </c>
      <c r="N35" s="1173">
        <f aca="true" t="shared" si="10" ref="N35:N42">M35/I35*1000</f>
        <v>0.5148471320295476</v>
      </c>
      <c r="O35" s="1179"/>
      <c r="P35" s="1297">
        <f aca="true" t="shared" si="11" ref="P35:P42">ROUND(H35,0)</f>
        <v>8060992</v>
      </c>
    </row>
    <row r="36" spans="1:16" ht="11.25">
      <c r="A36" s="109"/>
      <c r="B36" s="330" t="s">
        <v>1014</v>
      </c>
      <c r="C36" s="691" t="s">
        <v>648</v>
      </c>
      <c r="D36" s="1116">
        <f>'4000'!D15</f>
        <v>269553808.95654</v>
      </c>
      <c r="E36" s="1147"/>
      <c r="F36" s="1116"/>
      <c r="G36" s="1116">
        <f>'4000'!J15</f>
        <v>20775595.91</v>
      </c>
      <c r="H36" s="1294">
        <f t="shared" si="6"/>
        <v>290329404.86654</v>
      </c>
      <c r="I36" s="504">
        <v>186540669.4</v>
      </c>
      <c r="J36" s="303">
        <v>336268305</v>
      </c>
      <c r="K36" s="187">
        <f t="shared" si="7"/>
        <v>-45938.90013345999</v>
      </c>
      <c r="L36" s="679">
        <f t="shared" si="8"/>
        <v>-0.13661382726350016</v>
      </c>
      <c r="M36" s="655">
        <f t="shared" si="9"/>
        <v>103788.73546654</v>
      </c>
      <c r="N36" s="1173">
        <f t="shared" si="10"/>
        <v>0.5563866356884639</v>
      </c>
      <c r="O36" s="1179"/>
      <c r="P36" s="1297">
        <f>ROUND(H36,0)</f>
        <v>290329405</v>
      </c>
    </row>
    <row r="37" spans="1:16" ht="11.25">
      <c r="A37" s="109"/>
      <c r="B37" s="113" t="s">
        <v>649</v>
      </c>
      <c r="C37" s="697" t="s">
        <v>650</v>
      </c>
      <c r="D37" s="1116">
        <f>'3600'!D40</f>
        <v>4354726.42</v>
      </c>
      <c r="E37" s="1147"/>
      <c r="F37" s="1116"/>
      <c r="G37" s="1116">
        <f>'3600'!G40</f>
        <v>484522.08</v>
      </c>
      <c r="H37" s="1294">
        <f t="shared" si="6"/>
        <v>4839248.5</v>
      </c>
      <c r="I37" s="504">
        <v>5481276</v>
      </c>
      <c r="J37" s="303">
        <v>5667589</v>
      </c>
      <c r="K37" s="187">
        <f t="shared" si="7"/>
        <v>-828.3405</v>
      </c>
      <c r="L37" s="679">
        <f t="shared" si="8"/>
        <v>-0.14615394658998737</v>
      </c>
      <c r="M37" s="655">
        <f t="shared" si="9"/>
        <v>-642.0275</v>
      </c>
      <c r="N37" s="1173">
        <f t="shared" si="10"/>
        <v>-0.11713102934426219</v>
      </c>
      <c r="O37" s="1179"/>
      <c r="P37" s="1297">
        <f t="shared" si="11"/>
        <v>4839249</v>
      </c>
    </row>
    <row r="38" spans="1:16" ht="11.25">
      <c r="A38" s="109"/>
      <c r="B38" s="113" t="s">
        <v>125</v>
      </c>
      <c r="C38" s="697" t="s">
        <v>651</v>
      </c>
      <c r="D38" s="1116">
        <f>'4100'!D54</f>
        <v>9734319.85</v>
      </c>
      <c r="E38" s="1147"/>
      <c r="F38" s="1116"/>
      <c r="G38" s="1116"/>
      <c r="H38" s="1294">
        <f t="shared" si="6"/>
        <v>9734319.85</v>
      </c>
      <c r="I38" s="504">
        <v>13825093.4</v>
      </c>
      <c r="J38" s="303">
        <v>11769111</v>
      </c>
      <c r="K38" s="187">
        <f t="shared" si="7"/>
        <v>-2034.7911500000005</v>
      </c>
      <c r="L38" s="679">
        <f t="shared" si="8"/>
        <v>-0.17289251074274006</v>
      </c>
      <c r="M38" s="655">
        <f t="shared" si="9"/>
        <v>-4090.773550000001</v>
      </c>
      <c r="N38" s="1173">
        <f t="shared" si="10"/>
        <v>-0.29589482194745975</v>
      </c>
      <c r="O38" s="1179"/>
      <c r="P38" s="1297">
        <f t="shared" si="11"/>
        <v>9734320</v>
      </c>
    </row>
    <row r="39" spans="1:16" ht="11.25">
      <c r="A39" s="109"/>
      <c r="B39" s="113" t="s">
        <v>908</v>
      </c>
      <c r="C39" s="697" t="s">
        <v>651</v>
      </c>
      <c r="D39" s="1116">
        <f>'4100'!D62</f>
        <v>946414</v>
      </c>
      <c r="E39" s="1148"/>
      <c r="F39" s="1116"/>
      <c r="G39" s="1116"/>
      <c r="H39" s="1294">
        <f t="shared" si="6"/>
        <v>946414</v>
      </c>
      <c r="I39" s="504">
        <v>1029187</v>
      </c>
      <c r="J39" s="303">
        <v>930181</v>
      </c>
      <c r="K39" s="187">
        <f t="shared" si="7"/>
        <v>16.233</v>
      </c>
      <c r="L39" s="679">
        <f t="shared" si="8"/>
        <v>0.017451442246186496</v>
      </c>
      <c r="M39" s="655">
        <f t="shared" si="9"/>
        <v>-82.773</v>
      </c>
      <c r="N39" s="1173">
        <f t="shared" si="10"/>
        <v>-0.08042561750197</v>
      </c>
      <c r="O39" s="1179"/>
      <c r="P39" s="1297">
        <f t="shared" si="11"/>
        <v>946414</v>
      </c>
    </row>
    <row r="40" spans="1:16" ht="11.25">
      <c r="A40" s="109"/>
      <c r="B40" s="945" t="s">
        <v>903</v>
      </c>
      <c r="C40" s="697" t="s">
        <v>651</v>
      </c>
      <c r="D40" s="1116">
        <f>'4100'!D10</f>
        <v>15019098.576227197</v>
      </c>
      <c r="E40" s="1149"/>
      <c r="F40" s="1116"/>
      <c r="G40" s="1116"/>
      <c r="H40" s="1294">
        <f t="shared" si="6"/>
        <v>15019098.576227197</v>
      </c>
      <c r="I40" s="504">
        <v>13638119.14</v>
      </c>
      <c r="J40" s="304">
        <v>9374097</v>
      </c>
      <c r="K40" s="187">
        <f t="shared" si="7"/>
        <v>5645.001576227198</v>
      </c>
      <c r="L40" s="679">
        <f t="shared" si="8"/>
        <v>0.6021915045499526</v>
      </c>
      <c r="M40" s="655">
        <f t="shared" si="9"/>
        <v>1380.9794362271969</v>
      </c>
      <c r="N40" s="1173">
        <f t="shared" si="10"/>
        <v>0.10125878957728454</v>
      </c>
      <c r="O40" s="1179"/>
      <c r="P40" s="1297">
        <f t="shared" si="11"/>
        <v>15019099</v>
      </c>
    </row>
    <row r="41" spans="1:16" ht="11.25">
      <c r="A41" s="109"/>
      <c r="B41" s="945" t="s">
        <v>652</v>
      </c>
      <c r="C41" s="697" t="s">
        <v>651</v>
      </c>
      <c r="D41" s="1116">
        <f>'4100'!D38</f>
        <v>21310111.099999998</v>
      </c>
      <c r="E41" s="1148"/>
      <c r="F41" s="1116">
        <f>'4100'!F38</f>
        <v>484522.08</v>
      </c>
      <c r="G41" s="1116">
        <f>'4100'!G38</f>
        <v>200000</v>
      </c>
      <c r="H41" s="1294">
        <f t="shared" si="6"/>
        <v>21025589.02</v>
      </c>
      <c r="I41" s="504">
        <v>17120847.18</v>
      </c>
      <c r="J41" s="303">
        <v>21529907</v>
      </c>
      <c r="K41" s="187">
        <f t="shared" si="7"/>
        <v>-504.31798000000043</v>
      </c>
      <c r="L41" s="679">
        <f t="shared" si="8"/>
        <v>-0.023424066810878486</v>
      </c>
      <c r="M41" s="655">
        <f t="shared" si="9"/>
        <v>3904.7418399999997</v>
      </c>
      <c r="N41" s="1173">
        <f t="shared" si="10"/>
        <v>0.22806942898020774</v>
      </c>
      <c r="O41" s="1179"/>
      <c r="P41" s="1297">
        <f>ROUND(H41,0)</f>
        <v>21025589</v>
      </c>
    </row>
    <row r="42" spans="1:16" ht="11.25">
      <c r="A42" s="109"/>
      <c r="B42" s="330" t="s">
        <v>653</v>
      </c>
      <c r="C42" s="691" t="s">
        <v>651</v>
      </c>
      <c r="D42" s="1150">
        <f>'4100'!D48</f>
        <v>3840330.5</v>
      </c>
      <c r="E42" s="1148"/>
      <c r="F42" s="1116"/>
      <c r="G42" s="1116"/>
      <c r="H42" s="1294">
        <f t="shared" si="6"/>
        <v>3840330.5</v>
      </c>
      <c r="I42" s="504">
        <v>5859218.33</v>
      </c>
      <c r="J42" s="303">
        <v>5604897</v>
      </c>
      <c r="K42" s="187">
        <f t="shared" si="7"/>
        <v>-1764.5665</v>
      </c>
      <c r="L42" s="679">
        <f t="shared" si="8"/>
        <v>-0.31482585674634167</v>
      </c>
      <c r="M42" s="655">
        <f t="shared" si="9"/>
        <v>-2018.8878300000001</v>
      </c>
      <c r="N42" s="1173">
        <f t="shared" si="10"/>
        <v>-0.34456606944701446</v>
      </c>
      <c r="O42" s="1179"/>
      <c r="P42" s="1297">
        <f t="shared" si="11"/>
        <v>3840331</v>
      </c>
    </row>
    <row r="43" spans="1:15" ht="11.25">
      <c r="A43" s="109"/>
      <c r="B43" s="330"/>
      <c r="C43" s="181"/>
      <c r="D43" s="1150"/>
      <c r="E43" s="1148"/>
      <c r="F43" s="1116"/>
      <c r="G43" s="1116"/>
      <c r="H43" s="1294"/>
      <c r="I43" s="504"/>
      <c r="J43" s="385"/>
      <c r="K43" s="944">
        <f>IF(I43&lt;&gt;0,(+I43-J43)/1000,IF(J43&lt;&gt;0,(+I43-J43)/1000,""))</f>
      </c>
      <c r="L43" s="951">
        <f>IF(I43&lt;&gt;0,IF(J43=0,1,+K43/J43*1000),IF(J43&lt;&gt;0,+K43/J43*1000,""))</f>
      </c>
      <c r="M43" s="944"/>
      <c r="N43" s="1182"/>
      <c r="O43" s="1178"/>
    </row>
    <row r="44" spans="1:16" ht="11.25">
      <c r="A44" s="109"/>
      <c r="B44" s="208" t="s">
        <v>654</v>
      </c>
      <c r="C44" s="694"/>
      <c r="D44" s="1124">
        <f>SUM(D35:D43)</f>
        <v>332819801.8027672</v>
      </c>
      <c r="E44" s="1151"/>
      <c r="F44" s="1152">
        <f>SUM(F35:F43)</f>
        <v>484522.08</v>
      </c>
      <c r="G44" s="1152">
        <f>SUM(G35:G43)</f>
        <v>21460117.99</v>
      </c>
      <c r="H44" s="1295">
        <f>SUM(H35:H43)</f>
        <v>353795397.7127672</v>
      </c>
      <c r="I44" s="1288">
        <v>248815734.45000002</v>
      </c>
      <c r="J44" s="699">
        <f>SUM(J35:J42)</f>
        <v>401978070</v>
      </c>
      <c r="K44" s="603">
        <f>(H44-J44)/1000</f>
        <v>-48182.67228723282</v>
      </c>
      <c r="L44" s="745">
        <f>K44/J44*1000</f>
        <v>-0.11986393259521051</v>
      </c>
      <c r="M44" s="747">
        <f>(H44-I44)/1000</f>
        <v>104979.66326276716</v>
      </c>
      <c r="N44" s="1174">
        <f>M44/I44*1000</f>
        <v>0.42191730155177554</v>
      </c>
      <c r="O44" s="1179"/>
      <c r="P44" s="337">
        <f>SUM(P35:P43)</f>
        <v>353795399</v>
      </c>
    </row>
    <row r="45" spans="1:15" ht="11.25">
      <c r="A45" s="109"/>
      <c r="B45" s="218" t="s">
        <v>874</v>
      </c>
      <c r="C45" s="181"/>
      <c r="D45" s="1150"/>
      <c r="E45" s="1148"/>
      <c r="F45" s="1116"/>
      <c r="G45" s="1116"/>
      <c r="H45" s="1294"/>
      <c r="I45" s="504"/>
      <c r="J45" s="303"/>
      <c r="K45" s="944">
        <f>IF(I45&lt;&gt;0,(+I45-J45)/1000,IF(J45&lt;&gt;0,(+I45-J45)/1000,""))</f>
      </c>
      <c r="L45" s="112">
        <f>IF(I45&lt;&gt;0,IF(J45=0,1,+K45/J45*1000),IF(J45&lt;&gt;0,+K45/J45*1000,""))</f>
      </c>
      <c r="M45" s="944"/>
      <c r="N45" s="1172"/>
      <c r="O45" s="1178"/>
    </row>
    <row r="46" spans="1:16" ht="11.25">
      <c r="A46" s="109"/>
      <c r="B46" s="86" t="s">
        <v>875</v>
      </c>
      <c r="C46" s="691" t="s">
        <v>651</v>
      </c>
      <c r="D46" s="1150">
        <f>'4100'!D63</f>
        <v>1648391.4699999997</v>
      </c>
      <c r="E46" s="1148"/>
      <c r="F46" s="1118"/>
      <c r="G46" s="1118"/>
      <c r="H46" s="1294">
        <f>D46-F46+G46</f>
        <v>1648391.4699999997</v>
      </c>
      <c r="I46" s="504">
        <v>2857394</v>
      </c>
      <c r="J46" s="303">
        <v>1891178</v>
      </c>
      <c r="K46" s="187">
        <f>(H46-J46)/1000</f>
        <v>-242.78653000000025</v>
      </c>
      <c r="L46" s="679">
        <f>K46/J46*1000</f>
        <v>-0.12837846569704187</v>
      </c>
      <c r="M46" s="655">
        <f>(H46-I46)/1000</f>
        <v>-1209.0025300000002</v>
      </c>
      <c r="N46" s="1173">
        <f>M46/I46*1000</f>
        <v>-0.42311369380631453</v>
      </c>
      <c r="O46" s="1179"/>
      <c r="P46" s="1297">
        <f>ROUND(H46,0)</f>
        <v>1648391</v>
      </c>
    </row>
    <row r="47" spans="1:16" ht="11.25">
      <c r="A47" s="109"/>
      <c r="B47" s="86" t="s">
        <v>507</v>
      </c>
      <c r="C47" s="691" t="s">
        <v>651</v>
      </c>
      <c r="D47" s="1150">
        <f>'4100'!D43</f>
        <v>917982.19</v>
      </c>
      <c r="E47" s="1148"/>
      <c r="F47" s="1153"/>
      <c r="G47" s="1154"/>
      <c r="H47" s="1294">
        <f>D47-F47+G47</f>
        <v>917982.19</v>
      </c>
      <c r="I47" s="967">
        <v>5796000</v>
      </c>
      <c r="J47" s="385">
        <v>0</v>
      </c>
      <c r="K47" s="187">
        <f>(H47-J47)/1000</f>
        <v>917.98219</v>
      </c>
      <c r="L47" s="679" t="e">
        <f>K47/J47*1000</f>
        <v>#DIV/0!</v>
      </c>
      <c r="M47" s="655">
        <f>(H47-I47)/1000</f>
        <v>-4878.01781</v>
      </c>
      <c r="N47" s="1173">
        <f>M47/I47*1000</f>
        <v>-0.8416179796411319</v>
      </c>
      <c r="O47" s="1179"/>
      <c r="P47" s="1297">
        <f>ROUND(H47,0)</f>
        <v>917982</v>
      </c>
    </row>
    <row r="48" spans="1:16" ht="11.25">
      <c r="A48" s="109"/>
      <c r="B48" s="208" t="s">
        <v>655</v>
      </c>
      <c r="C48" s="694"/>
      <c r="D48" s="1122">
        <f>SUM(D44:D47)</f>
        <v>335386175.46276724</v>
      </c>
      <c r="E48" s="1151"/>
      <c r="F48" s="1129">
        <f>SUM(F44:F47)</f>
        <v>484522.08</v>
      </c>
      <c r="G48" s="1129">
        <f>SUM(G44:G47)</f>
        <v>21460117.99</v>
      </c>
      <c r="H48" s="1163">
        <f>SUM(H44:H47)</f>
        <v>356361771.3727672</v>
      </c>
      <c r="I48" s="1289">
        <v>257469128.45000002</v>
      </c>
      <c r="J48" s="700">
        <f>SUM(J44,J46:J47)</f>
        <v>403869248</v>
      </c>
      <c r="K48" s="603">
        <f>(H48-J48)/1000</f>
        <v>-47507.47662723279</v>
      </c>
      <c r="L48" s="745">
        <f>K48/J48*1000</f>
        <v>-0.11763083439131466</v>
      </c>
      <c r="M48" s="747">
        <f>(H48-I48)/1000</f>
        <v>98892.64292276719</v>
      </c>
      <c r="N48" s="1174">
        <f>M48/I48*1000</f>
        <v>0.3840951477099979</v>
      </c>
      <c r="O48" s="1179"/>
      <c r="P48" s="337">
        <f>SUM(P44:P47)</f>
        <v>356361772</v>
      </c>
    </row>
    <row r="49" spans="1:15" ht="11.25">
      <c r="A49" s="109"/>
      <c r="B49" s="86"/>
      <c r="C49" s="181"/>
      <c r="D49" s="1150"/>
      <c r="E49" s="1148"/>
      <c r="F49" s="1118"/>
      <c r="G49" s="1118"/>
      <c r="H49" s="1293"/>
      <c r="I49" s="964"/>
      <c r="J49" s="359"/>
      <c r="K49" s="952">
        <f>IF(I49&lt;&gt;0,(+I49-J49)/1000,IF(J49&lt;&gt;0,(+I49-J49)/1000,""))</f>
      </c>
      <c r="L49" s="112">
        <f>IF(I49&lt;&gt;0,IF(J49=0,1,+K49/J49*1000),IF(J49&lt;&gt;0,+K49/J49*1000,""))</f>
      </c>
      <c r="M49" s="953"/>
      <c r="N49" s="1172"/>
      <c r="O49" s="1178"/>
    </row>
    <row r="50" spans="1:15" ht="11.25">
      <c r="A50" s="109"/>
      <c r="B50" s="23" t="s">
        <v>656</v>
      </c>
      <c r="C50" s="181"/>
      <c r="D50" s="1153"/>
      <c r="E50" s="1155"/>
      <c r="F50" s="1118"/>
      <c r="G50" s="1118"/>
      <c r="H50" s="1293"/>
      <c r="I50" s="964"/>
      <c r="J50" s="359"/>
      <c r="K50" s="952">
        <f>IF(I50&lt;&gt;0,(+I50-J50)/1000,IF(J50&lt;&gt;0,(+I50-J50)/1000,""))</f>
      </c>
      <c r="L50" s="112">
        <f>IF(I50&lt;&gt;0,IF(J50=0,1,+K50/J50*1000),IF(J50&lt;&gt;0,+K50/J50*1000,""))</f>
      </c>
      <c r="M50" s="953"/>
      <c r="N50" s="1172"/>
      <c r="O50" s="1178"/>
    </row>
    <row r="51" spans="1:15" ht="11.25">
      <c r="A51" s="109"/>
      <c r="B51" s="86"/>
      <c r="C51" s="181"/>
      <c r="D51" s="1153"/>
      <c r="E51" s="1155"/>
      <c r="F51" s="1118"/>
      <c r="G51" s="1118"/>
      <c r="H51" s="1293"/>
      <c r="I51" s="964"/>
      <c r="J51" s="359"/>
      <c r="K51" s="952">
        <f>IF(I51&lt;&gt;0,(+I51-J51)/1000,IF(J51&lt;&gt;0,(+I51-J51)/1000,""))</f>
      </c>
      <c r="L51" s="112">
        <f>IF(I51&lt;&gt;0,IF(J51=0,1,+K51/J51*1000),IF(J51&lt;&gt;0,+K51/J51*1000,""))</f>
      </c>
      <c r="M51" s="953"/>
      <c r="N51" s="1172"/>
      <c r="O51" s="1178"/>
    </row>
    <row r="52" spans="1:15" ht="11.25">
      <c r="A52" s="109"/>
      <c r="B52" s="109" t="s">
        <v>657</v>
      </c>
      <c r="C52" s="691" t="s">
        <v>658</v>
      </c>
      <c r="D52" s="1150"/>
      <c r="E52" s="1155"/>
      <c r="F52" s="1118"/>
      <c r="G52" s="1118"/>
      <c r="H52" s="1294"/>
      <c r="I52" s="964"/>
      <c r="J52" s="359"/>
      <c r="K52" s="952">
        <f>IF(I52&lt;&gt;0,(+I52-J52)/1000,IF(J52&lt;&gt;0,(+I52-J52)/1000,""))</f>
      </c>
      <c r="L52" s="112">
        <f>IF(I52&lt;&gt;0,IF(J52=0,1,+K52/J52*1000),IF(J52&lt;&gt;0,+K52/J52*1000,""))</f>
      </c>
      <c r="M52" s="953"/>
      <c r="N52" s="1172"/>
      <c r="O52" s="1178"/>
    </row>
    <row r="53" spans="1:16" ht="23.25" thickBot="1">
      <c r="A53" s="109"/>
      <c r="B53" s="109" t="s">
        <v>659</v>
      </c>
      <c r="C53" s="181"/>
      <c r="D53" s="1156">
        <f>'5000'!D8</f>
        <v>121500000</v>
      </c>
      <c r="E53" s="1155"/>
      <c r="F53" s="1157"/>
      <c r="G53" s="1158"/>
      <c r="H53" s="1159">
        <f>D53-F53+G53</f>
        <v>121500000</v>
      </c>
      <c r="I53" s="1290">
        <v>121500000</v>
      </c>
      <c r="J53" s="701">
        <v>121500000</v>
      </c>
      <c r="K53" s="750">
        <f>(H53-J53)/1000</f>
        <v>0</v>
      </c>
      <c r="L53" s="751">
        <f>K53/J53*1000</f>
        <v>0</v>
      </c>
      <c r="M53" s="1008">
        <f>(H53-I53)/1000</f>
        <v>0</v>
      </c>
      <c r="N53" s="1183">
        <f>M53/I53*1000</f>
        <v>0</v>
      </c>
      <c r="O53" s="1179"/>
      <c r="P53" s="1297">
        <f>ROUND(H53,0)</f>
        <v>121500000</v>
      </c>
    </row>
    <row r="54" spans="1:16" ht="23.25" thickTop="1">
      <c r="A54" s="109"/>
      <c r="B54" s="109" t="s">
        <v>660</v>
      </c>
      <c r="C54" s="181"/>
      <c r="D54" s="1119">
        <f>'5000'!D13</f>
        <v>121500000</v>
      </c>
      <c r="E54" s="1155"/>
      <c r="F54" s="1118"/>
      <c r="G54" s="1118"/>
      <c r="H54" s="1294">
        <f>D54+F54-G54</f>
        <v>121500000</v>
      </c>
      <c r="I54" s="964">
        <v>121500000</v>
      </c>
      <c r="J54" s="359">
        <v>121500000</v>
      </c>
      <c r="K54" s="187">
        <f>(H54-J54)/1000</f>
        <v>0</v>
      </c>
      <c r="L54" s="679">
        <f>K54/J54*1000</f>
        <v>0</v>
      </c>
      <c r="M54" s="655">
        <f>(H54-I54)/1000</f>
        <v>0</v>
      </c>
      <c r="N54" s="1173">
        <f>M54/I54*1000</f>
        <v>0</v>
      </c>
      <c r="O54" s="1179"/>
      <c r="P54" s="1297">
        <f>ROUND(H54,0)</f>
        <v>121500000</v>
      </c>
    </row>
    <row r="55" spans="1:16" ht="11.25">
      <c r="A55" s="109"/>
      <c r="B55" s="109" t="s">
        <v>624</v>
      </c>
      <c r="C55" s="181"/>
      <c r="D55" s="1119">
        <f>'5000'!D17</f>
        <v>233350000</v>
      </c>
      <c r="E55" s="1155"/>
      <c r="F55" s="1118"/>
      <c r="G55" s="1118"/>
      <c r="H55" s="1294">
        <f>D55+F55-G55</f>
        <v>233350000</v>
      </c>
      <c r="I55" s="964">
        <v>233350000</v>
      </c>
      <c r="J55" s="359">
        <v>233350000</v>
      </c>
      <c r="K55" s="187">
        <f>(H55-J55)/1000</f>
        <v>0</v>
      </c>
      <c r="L55" s="679">
        <f>K55/J55*1000</f>
        <v>0</v>
      </c>
      <c r="M55" s="655">
        <f>(H55-I55)/1000</f>
        <v>0</v>
      </c>
      <c r="N55" s="1173">
        <f>M55/I55*1000</f>
        <v>0</v>
      </c>
      <c r="O55" s="1179"/>
      <c r="P55" s="1297">
        <f>ROUND(H55,0)</f>
        <v>233350000</v>
      </c>
    </row>
    <row r="56" spans="1:16" ht="11.25">
      <c r="A56" s="109"/>
      <c r="B56" s="109" t="s">
        <v>626</v>
      </c>
      <c r="C56" s="181"/>
      <c r="D56" s="1119"/>
      <c r="E56" s="1155"/>
      <c r="F56" s="1116"/>
      <c r="G56" s="1116"/>
      <c r="H56" s="1294"/>
      <c r="I56" s="964"/>
      <c r="J56" s="359"/>
      <c r="K56" s="187"/>
      <c r="L56" s="679"/>
      <c r="M56" s="655"/>
      <c r="N56" s="1173"/>
      <c r="O56" s="1179"/>
      <c r="P56" s="1297">
        <f>ROUND(H56,0)</f>
        <v>0</v>
      </c>
    </row>
    <row r="57" spans="1:16" ht="11.25">
      <c r="A57" s="109"/>
      <c r="B57" s="109" t="s">
        <v>661</v>
      </c>
      <c r="C57" s="181"/>
      <c r="D57" s="1119">
        <f>'5000'!D26</f>
        <v>12150000</v>
      </c>
      <c r="E57" s="1127"/>
      <c r="F57" s="1116"/>
      <c r="G57" s="1116"/>
      <c r="H57" s="1294">
        <f>D57-F57+G57</f>
        <v>12150000</v>
      </c>
      <c r="I57" s="964">
        <v>12150000</v>
      </c>
      <c r="J57" s="359">
        <v>12150000</v>
      </c>
      <c r="K57" s="187">
        <f>(H57-J57)/1000</f>
        <v>0</v>
      </c>
      <c r="L57" s="679">
        <f>K57/J57*1000</f>
        <v>0</v>
      </c>
      <c r="M57" s="655">
        <f>(H57-I57)/1000</f>
        <v>0</v>
      </c>
      <c r="N57" s="1173">
        <f>M57/I57*1000</f>
        <v>0</v>
      </c>
      <c r="O57" s="1179"/>
      <c r="P57" s="1297">
        <f>ROUND(H57,0)</f>
        <v>12150000</v>
      </c>
    </row>
    <row r="58" spans="1:16" ht="11.25">
      <c r="A58" s="109"/>
      <c r="B58" s="109" t="s">
        <v>662</v>
      </c>
      <c r="C58" s="181"/>
      <c r="D58" s="1119">
        <f>'5000'!D34</f>
        <v>264117905.4693664</v>
      </c>
      <c r="E58" s="1126"/>
      <c r="F58" s="1116">
        <f>'5000'!F34</f>
        <v>0</v>
      </c>
      <c r="G58" s="1116">
        <f>'5000'!G34</f>
        <v>0</v>
      </c>
      <c r="H58" s="1294">
        <f>D58-F58+G58</f>
        <v>264117905.4693664</v>
      </c>
      <c r="I58" s="968">
        <v>297526995.66151404</v>
      </c>
      <c r="J58" s="359">
        <v>251380663</v>
      </c>
      <c r="K58" s="187">
        <f>(H58-J58)/1000</f>
        <v>12737.242469366402</v>
      </c>
      <c r="L58" s="679">
        <f>K58/J58*1000</f>
        <v>0.050669141839944955</v>
      </c>
      <c r="M58" s="655">
        <f>(H58-I58)/1000</f>
        <v>-33409.09019214764</v>
      </c>
      <c r="N58" s="1173">
        <f>M58/I58*1000</f>
        <v>-0.1122892735090028</v>
      </c>
      <c r="O58" s="1179"/>
      <c r="P58" s="1297">
        <f>ROUND(H58,0)+1</f>
        <v>264117906</v>
      </c>
    </row>
    <row r="59" spans="1:17" ht="11.25">
      <c r="A59" s="109"/>
      <c r="B59" s="947" t="s">
        <v>663</v>
      </c>
      <c r="C59" s="694"/>
      <c r="D59" s="1160">
        <f>SUM(D54:D58)</f>
        <v>631117905.4693664</v>
      </c>
      <c r="E59" s="1161"/>
      <c r="F59" s="1162">
        <f>SUM(F54:F58)</f>
        <v>0</v>
      </c>
      <c r="G59" s="1162">
        <f>SUM(G54:G58)</f>
        <v>0</v>
      </c>
      <c r="H59" s="1163">
        <f>SUM(H54:H58)</f>
        <v>631117905.4693664</v>
      </c>
      <c r="I59" s="1291">
        <v>664526995.661514</v>
      </c>
      <c r="J59" s="702">
        <f>SUM(J54:J58)</f>
        <v>618380663</v>
      </c>
      <c r="K59" s="603">
        <f>(H59-J59)/1000</f>
        <v>12737.24246936643</v>
      </c>
      <c r="L59" s="745">
        <f>K59/J59*1000</f>
        <v>0.020597737334756262</v>
      </c>
      <c r="M59" s="747">
        <f>(H59-I59)/1000</f>
        <v>-33409.09019214761</v>
      </c>
      <c r="N59" s="1174">
        <f>M59/I59*1000</f>
        <v>-0.0502749932060924</v>
      </c>
      <c r="O59" s="1179"/>
      <c r="P59" s="1094">
        <f>SUM(P54:P58)</f>
        <v>631117906</v>
      </c>
      <c r="Q59" s="125"/>
    </row>
    <row r="60" spans="1:15" ht="11.25">
      <c r="A60" s="109"/>
      <c r="B60" s="109"/>
      <c r="C60" s="181"/>
      <c r="D60" s="1118"/>
      <c r="E60" s="1127"/>
      <c r="F60" s="1116"/>
      <c r="G60" s="1116"/>
      <c r="H60" s="1293"/>
      <c r="I60" s="964"/>
      <c r="J60" s="359"/>
      <c r="K60" s="944"/>
      <c r="L60" s="112"/>
      <c r="M60" s="944"/>
      <c r="N60" s="1172"/>
      <c r="O60" s="1178"/>
    </row>
    <row r="61" spans="1:15" ht="11.25">
      <c r="A61" s="109"/>
      <c r="B61" s="86"/>
      <c r="C61" s="181"/>
      <c r="D61" s="1118"/>
      <c r="E61" s="1127"/>
      <c r="F61" s="1118"/>
      <c r="G61" s="1118"/>
      <c r="H61" s="1296"/>
      <c r="I61" s="964"/>
      <c r="J61" s="359"/>
      <c r="K61" s="944">
        <f>IF(I61&lt;&gt;0,(+I61-J61)/1000,IF(J61&lt;&gt;0,(+I61-J61)/1000,""))</f>
      </c>
      <c r="L61" s="112">
        <f>IF(I61&lt;&gt;0,IF(J61=0,1,+K61/J61*1000),IF(J61&lt;&gt;0,+K61/J61*1000,""))</f>
      </c>
      <c r="M61" s="944"/>
      <c r="N61" s="1172"/>
      <c r="O61" s="1178"/>
    </row>
    <row r="62" spans="1:15" ht="11.25">
      <c r="A62" s="954"/>
      <c r="B62" s="703" t="s">
        <v>664</v>
      </c>
      <c r="C62" s="704"/>
      <c r="D62" s="1164"/>
      <c r="E62" s="1165"/>
      <c r="F62" s="1164"/>
      <c r="G62" s="1164"/>
      <c r="H62" s="1166"/>
      <c r="I62" s="961">
        <v>0</v>
      </c>
      <c r="J62" s="705"/>
      <c r="K62" s="955">
        <f>IF(I62&lt;&gt;0,(+I62-J62)/1000,IF(J62&lt;&gt;0,(+I62-J62)/1000,""))</f>
      </c>
      <c r="L62" s="956">
        <f>IF(I62&lt;&gt;0,IF(J62=0,1,+K62/J62*1000),IF(J62&lt;&gt;0,+K62/J62*1000,""))</f>
      </c>
      <c r="M62" s="955"/>
      <c r="N62" s="1184"/>
      <c r="O62" s="1178"/>
    </row>
    <row r="63" spans="1:16" ht="11.25">
      <c r="A63" s="957"/>
      <c r="B63" s="706" t="s">
        <v>931</v>
      </c>
      <c r="C63" s="707"/>
      <c r="D63" s="1167">
        <f>D48+D59</f>
        <v>966504080.9321337</v>
      </c>
      <c r="E63" s="1168"/>
      <c r="F63" s="1167">
        <f>F48+F59</f>
        <v>484522.08</v>
      </c>
      <c r="G63" s="1167">
        <f>G48+G59</f>
        <v>21460117.99</v>
      </c>
      <c r="H63" s="1169">
        <f>H48+H59</f>
        <v>987479676.8421336</v>
      </c>
      <c r="I63" s="962">
        <v>921996124.1115141</v>
      </c>
      <c r="J63" s="708">
        <f>SUM(J59,J48)</f>
        <v>1022249911</v>
      </c>
      <c r="K63" s="603">
        <f>(H63-J63)/1000</f>
        <v>-34770.23415786636</v>
      </c>
      <c r="L63" s="745">
        <f>K63/J63*1000</f>
        <v>-0.0340134381854364</v>
      </c>
      <c r="M63" s="747">
        <f>(H63-I63)/1000</f>
        <v>65483.55273061955</v>
      </c>
      <c r="N63" s="1174">
        <f>M63/I63*1000</f>
        <v>0.07102367463173784</v>
      </c>
      <c r="O63" s="1179"/>
      <c r="P63" s="1298">
        <f>P48+P59</f>
        <v>987479678</v>
      </c>
    </row>
    <row r="64" spans="1:16" ht="11.25">
      <c r="A64" s="100"/>
      <c r="B64" s="100" t="s">
        <v>665</v>
      </c>
      <c r="C64" s="615"/>
      <c r="D64" s="1170">
        <f>D63-D27</f>
        <v>0.46213340759277344</v>
      </c>
      <c r="E64" s="1134"/>
      <c r="F64" s="1135">
        <f>F63-F27</f>
        <v>-20491073.830000002</v>
      </c>
      <c r="G64" s="1135">
        <f>G63-G27</f>
        <v>21460117.99</v>
      </c>
      <c r="H64" s="1170">
        <f>H63-H27</f>
        <v>0.4621332883834839</v>
      </c>
      <c r="I64" s="963">
        <v>-0.9684858322143555</v>
      </c>
      <c r="J64" s="963">
        <f>J63-J27</f>
        <v>0</v>
      </c>
      <c r="K64" s="946"/>
      <c r="L64" s="949"/>
      <c r="M64" s="946"/>
      <c r="N64" s="1185"/>
      <c r="P64" s="1299">
        <f>P63-P27</f>
        <v>0</v>
      </c>
    </row>
    <row r="65" ht="11.25">
      <c r="J65" s="231" t="s">
        <v>1140</v>
      </c>
    </row>
    <row r="66" ht="11.25">
      <c r="A66" s="51" t="s">
        <v>165</v>
      </c>
    </row>
    <row r="67" spans="1:10" ht="11.25">
      <c r="A67" s="51" t="s">
        <v>166</v>
      </c>
      <c r="D67" s="659"/>
      <c r="J67" s="141"/>
    </row>
    <row r="69" ht="11.25">
      <c r="D69" s="659"/>
    </row>
    <row r="74" spans="4:8" ht="11.25">
      <c r="D74" s="1076"/>
      <c r="H74" s="1101"/>
    </row>
  </sheetData>
  <mergeCells count="14">
    <mergeCell ref="E30:G30"/>
    <mergeCell ref="K29:L29"/>
    <mergeCell ref="E2:G2"/>
    <mergeCell ref="E3:G3"/>
    <mergeCell ref="K2:L2"/>
    <mergeCell ref="E29:G29"/>
    <mergeCell ref="K3:L3"/>
    <mergeCell ref="K30:L30"/>
    <mergeCell ref="K4:L4"/>
    <mergeCell ref="M29:N29"/>
    <mergeCell ref="M30:N30"/>
    <mergeCell ref="M2:N2"/>
    <mergeCell ref="M3:N3"/>
    <mergeCell ref="M4:N4"/>
  </mergeCells>
  <hyperlinks>
    <hyperlink ref="C8" location="'3000'!A1" display="3000"/>
    <hyperlink ref="C9" location="'3700'!A1" display="3700"/>
    <hyperlink ref="C35" location="'3600'!A1" display="3600"/>
    <hyperlink ref="C37" location="'3600'!A1" display="3600"/>
    <hyperlink ref="C10" location="'3200'!A1" display="3200"/>
    <hyperlink ref="C12" location="'3440'!A1" display="3440"/>
    <hyperlink ref="C13" location="'3300'!A1" display="3300"/>
    <hyperlink ref="C14" location="'3300'!A1" display="3300"/>
    <hyperlink ref="C19" location="'3300'!A1" display="3300"/>
    <hyperlink ref="C22" location="'3300'!A1" display="3300"/>
    <hyperlink ref="C23" location="'3300'!A1" display="3300"/>
    <hyperlink ref="C20" location="'3800'!A1" display="3800"/>
    <hyperlink ref="C36" location="'4000'!A1" display="4000"/>
    <hyperlink ref="C39" location="'4100'!A1" display="4100"/>
    <hyperlink ref="C40" location="'4100'!A1" display="4100"/>
    <hyperlink ref="C41" location="'4100'!A1" display="4100"/>
    <hyperlink ref="C42" location="'4100'!A1" display="4100"/>
    <hyperlink ref="C46" location="'4100'!A1" display="4100"/>
    <hyperlink ref="C52" location="'5000'!A1" display="5000"/>
    <hyperlink ref="C47" location="'4100'!A1" display="4100"/>
    <hyperlink ref="C38" location="'4100'!A1" display="4100"/>
    <hyperlink ref="C21" location="'3800'!A1" display="3800"/>
  </hyperlinks>
  <printOptions/>
  <pageMargins left="0.75" right="0.75" top="1" bottom="1" header="0.5" footer="0.5"/>
  <pageSetup fitToHeight="1" fitToWidth="1" horizontalDpi="600" verticalDpi="600" orientation="portrait" scale="4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pane xSplit="2" ySplit="5" topLeftCell="C23" activePane="bottomRight" state="frozen"/>
      <selection pane="topLeft" activeCell="G30" sqref="G30"/>
      <selection pane="topRight" activeCell="G30" sqref="G30"/>
      <selection pane="bottomLeft" activeCell="G30" sqref="G30"/>
      <selection pane="bottomRight" activeCell="G30" sqref="G30"/>
    </sheetView>
  </sheetViews>
  <sheetFormatPr defaultColWidth="9.140625" defaultRowHeight="21.75"/>
  <cols>
    <col min="1" max="1" width="9.8515625" style="51" customWidth="1"/>
    <col min="2" max="2" width="42.140625" style="51" bestFit="1" customWidth="1"/>
    <col min="3" max="3" width="5.140625" style="51" customWidth="1"/>
    <col min="4" max="4" width="13.00390625" style="416" customWidth="1"/>
    <col min="5" max="5" width="7.421875" style="54" customWidth="1"/>
    <col min="6" max="6" width="9.8515625" style="54" bestFit="1" customWidth="1"/>
    <col min="7" max="7" width="6.00390625" style="54" customWidth="1"/>
    <col min="8" max="8" width="12.8515625" style="54" customWidth="1"/>
    <col min="9" max="10" width="13.7109375" style="54" customWidth="1"/>
    <col min="11" max="11" width="10.00390625" style="54" customWidth="1"/>
    <col min="12" max="12" width="7.57421875" style="62" customWidth="1"/>
    <col min="13" max="13" width="9.57421875" style="51" customWidth="1"/>
    <col min="14" max="14" width="6.7109375" style="51" bestFit="1" customWidth="1"/>
    <col min="15" max="16384" width="9.140625" style="51" customWidth="1"/>
  </cols>
  <sheetData>
    <row r="1" spans="1:3" ht="11.25">
      <c r="A1" s="60" t="s">
        <v>485</v>
      </c>
      <c r="B1" s="60"/>
      <c r="C1" s="60"/>
    </row>
    <row r="2" spans="1:14" ht="11.25">
      <c r="A2" s="63"/>
      <c r="B2" s="64"/>
      <c r="C2" s="63"/>
      <c r="D2" s="1055" t="str">
        <f>'Control BS'!D2</f>
        <v>Quarter 1'08</v>
      </c>
      <c r="E2" s="1686" t="s">
        <v>486</v>
      </c>
      <c r="F2" s="1699"/>
      <c r="G2" s="1700"/>
      <c r="H2" s="1055" t="str">
        <f>D2</f>
        <v>Quarter 1'08</v>
      </c>
      <c r="I2" s="129" t="s">
        <v>818</v>
      </c>
      <c r="J2" s="129" t="s">
        <v>1015</v>
      </c>
      <c r="K2" s="1690" t="s">
        <v>487</v>
      </c>
      <c r="L2" s="1691"/>
      <c r="M2" s="1690" t="s">
        <v>487</v>
      </c>
      <c r="N2" s="1691"/>
    </row>
    <row r="3" spans="1:14" ht="11.25">
      <c r="A3" s="67" t="s">
        <v>488</v>
      </c>
      <c r="B3" s="68"/>
      <c r="C3" s="67"/>
      <c r="D3" s="1056">
        <f>'Control BS'!D3</f>
        <v>39538</v>
      </c>
      <c r="E3" s="1688" t="s">
        <v>489</v>
      </c>
      <c r="F3" s="1701"/>
      <c r="G3" s="1702"/>
      <c r="H3" s="1056">
        <f>D3</f>
        <v>39538</v>
      </c>
      <c r="I3" s="130">
        <v>39172</v>
      </c>
      <c r="J3" s="130">
        <f>'Control BS'!J3</f>
        <v>39447</v>
      </c>
      <c r="K3" s="1692" t="s">
        <v>490</v>
      </c>
      <c r="L3" s="1693"/>
      <c r="M3" s="1692" t="s">
        <v>490</v>
      </c>
      <c r="N3" s="1693"/>
    </row>
    <row r="4" spans="1:14" ht="15.75" customHeight="1">
      <c r="A4" s="73" t="s">
        <v>491</v>
      </c>
      <c r="B4" s="74" t="s">
        <v>492</v>
      </c>
      <c r="C4" s="73" t="s">
        <v>493</v>
      </c>
      <c r="D4" s="1059" t="s">
        <v>869</v>
      </c>
      <c r="E4" s="75" t="s">
        <v>494</v>
      </c>
      <c r="F4" s="76" t="s">
        <v>495</v>
      </c>
      <c r="G4" s="77" t="s">
        <v>496</v>
      </c>
      <c r="H4" s="1059" t="s">
        <v>869</v>
      </c>
      <c r="I4" s="217" t="s">
        <v>869</v>
      </c>
      <c r="J4" s="217" t="s">
        <v>885</v>
      </c>
      <c r="K4" s="1694" t="str">
        <f>'Control BS'!K4</f>
        <v>compare to YE'07</v>
      </c>
      <c r="L4" s="1706"/>
      <c r="M4" s="1694" t="str">
        <f>'Control BS'!M4</f>
        <v>From Q1'07</v>
      </c>
      <c r="N4" s="1695"/>
    </row>
    <row r="5" spans="1:14" ht="11.25">
      <c r="A5" s="81"/>
      <c r="B5" s="82"/>
      <c r="C5" s="82"/>
      <c r="D5" s="1060" t="s">
        <v>497</v>
      </c>
      <c r="E5" s="83" t="s">
        <v>498</v>
      </c>
      <c r="F5" s="77" t="s">
        <v>497</v>
      </c>
      <c r="G5" s="77" t="s">
        <v>497</v>
      </c>
      <c r="H5" s="1060" t="s">
        <v>497</v>
      </c>
      <c r="I5" s="84" t="s">
        <v>497</v>
      </c>
      <c r="J5" s="84" t="s">
        <v>497</v>
      </c>
      <c r="K5" s="72" t="s">
        <v>499</v>
      </c>
      <c r="L5" s="424" t="s">
        <v>500</v>
      </c>
      <c r="M5" s="72" t="s">
        <v>499</v>
      </c>
      <c r="N5" s="212" t="s">
        <v>500</v>
      </c>
    </row>
    <row r="6" spans="1:14" ht="11.25">
      <c r="A6" s="9"/>
      <c r="B6" s="218"/>
      <c r="C6" s="87"/>
      <c r="D6" s="665"/>
      <c r="E6" s="666"/>
      <c r="F6" s="443"/>
      <c r="G6" s="443"/>
      <c r="H6" s="544"/>
      <c r="I6" s="443"/>
      <c r="J6" s="443"/>
      <c r="K6" s="429"/>
      <c r="L6" s="438"/>
      <c r="M6" s="423"/>
      <c r="N6" s="234"/>
    </row>
    <row r="7" spans="1:14" ht="11.25">
      <c r="A7" s="22"/>
      <c r="B7" s="219"/>
      <c r="C7" s="91"/>
      <c r="D7" s="440"/>
      <c r="E7" s="520"/>
      <c r="F7" s="443"/>
      <c r="G7" s="443"/>
      <c r="H7" s="544"/>
      <c r="I7" s="443"/>
      <c r="J7" s="443"/>
      <c r="K7" s="429"/>
      <c r="L7" s="438"/>
      <c r="M7" s="355"/>
      <c r="N7" s="235"/>
    </row>
    <row r="8" spans="1:15" ht="11.25">
      <c r="A8" s="19">
        <v>110120</v>
      </c>
      <c r="B8" s="209" t="s">
        <v>501</v>
      </c>
      <c r="C8" s="220"/>
      <c r="D8" s="1098">
        <f>VLOOKUP(A8,TB!$A:$E,5,FALSE)</f>
        <v>50000</v>
      </c>
      <c r="E8" s="520"/>
      <c r="F8" s="443"/>
      <c r="G8" s="443"/>
      <c r="H8" s="114">
        <f aca="true" t="shared" si="0" ref="H8:H18">D8+F8-G8</f>
        <v>50000</v>
      </c>
      <c r="I8" s="449">
        <v>50000</v>
      </c>
      <c r="J8" s="449">
        <v>50000</v>
      </c>
      <c r="K8" s="187">
        <f aca="true" t="shared" si="1" ref="K8:K19">(H8-J8)/1000</f>
        <v>0</v>
      </c>
      <c r="L8" s="679">
        <f>K8/J8*1000</f>
        <v>0</v>
      </c>
      <c r="M8" s="347">
        <f>(H8-I8)/1000</f>
        <v>0</v>
      </c>
      <c r="N8" s="654">
        <f>M8/I8*1000</f>
        <v>0</v>
      </c>
      <c r="O8" s="55"/>
    </row>
    <row r="9" spans="1:14" ht="11.25">
      <c r="A9" s="221">
        <v>115140</v>
      </c>
      <c r="B9" s="209" t="s">
        <v>502</v>
      </c>
      <c r="C9" s="220"/>
      <c r="D9" s="1098">
        <f>VLOOKUP(A9,TB!$A:$E,5,FALSE)</f>
        <v>1431224.4</v>
      </c>
      <c r="E9" s="519"/>
      <c r="F9" s="443"/>
      <c r="G9" s="443"/>
      <c r="H9" s="114">
        <f t="shared" si="0"/>
        <v>1431224.4</v>
      </c>
      <c r="I9" s="449">
        <v>1424385.19</v>
      </c>
      <c r="J9" s="449">
        <v>1431224.4</v>
      </c>
      <c r="K9" s="187">
        <f t="shared" si="1"/>
        <v>0</v>
      </c>
      <c r="L9" s="679">
        <f aca="true" t="shared" si="2" ref="L9:L27">K9/J9*1000</f>
        <v>0</v>
      </c>
      <c r="M9" s="347">
        <f aca="true" t="shared" si="3" ref="M9:M30">(H9-I9)/1000</f>
        <v>6.839209999999963</v>
      </c>
      <c r="N9" s="654">
        <f>M9/I9*1000</f>
        <v>0.004801517207574985</v>
      </c>
    </row>
    <row r="10" spans="1:14" ht="11.25">
      <c r="A10" s="221">
        <v>115150</v>
      </c>
      <c r="B10" s="209" t="s">
        <v>503</v>
      </c>
      <c r="C10" s="220"/>
      <c r="D10" s="1098">
        <f>VLOOKUP(A10,TB!$A:$E,5,FALSE)</f>
        <v>0</v>
      </c>
      <c r="E10" s="520"/>
      <c r="F10" s="443"/>
      <c r="G10" s="443"/>
      <c r="H10" s="114">
        <f t="shared" si="0"/>
        <v>0</v>
      </c>
      <c r="I10" s="449">
        <v>0</v>
      </c>
      <c r="J10" s="449">
        <v>0</v>
      </c>
      <c r="K10" s="187">
        <f t="shared" si="1"/>
        <v>0</v>
      </c>
      <c r="L10" s="679"/>
      <c r="M10" s="347">
        <f t="shared" si="3"/>
        <v>0</v>
      </c>
      <c r="N10" s="654"/>
    </row>
    <row r="11" spans="1:14" ht="11.25">
      <c r="A11" s="221">
        <v>115160</v>
      </c>
      <c r="B11" s="209" t="s">
        <v>504</v>
      </c>
      <c r="C11" s="220"/>
      <c r="D11" s="1098">
        <f>VLOOKUP(A11,TB!$A:$E,5,FALSE)</f>
        <v>4304335.43</v>
      </c>
      <c r="E11" s="520"/>
      <c r="F11" s="443"/>
      <c r="G11" s="443"/>
      <c r="H11" s="114">
        <f t="shared" si="0"/>
        <v>4304335.43</v>
      </c>
      <c r="I11" s="449">
        <v>10032851.3</v>
      </c>
      <c r="J11" s="449">
        <v>16600716.860000001</v>
      </c>
      <c r="K11" s="187">
        <f t="shared" si="1"/>
        <v>-12296.381430000001</v>
      </c>
      <c r="L11" s="679">
        <f t="shared" si="2"/>
        <v>-0.7407138820389472</v>
      </c>
      <c r="M11" s="347">
        <f t="shared" si="3"/>
        <v>-5728.515870000001</v>
      </c>
      <c r="N11" s="654">
        <f>M11/I11*1000</f>
        <v>-0.5709758570826222</v>
      </c>
    </row>
    <row r="12" spans="1:14" ht="11.25">
      <c r="A12" s="221">
        <v>115170</v>
      </c>
      <c r="B12" s="209" t="s">
        <v>508</v>
      </c>
      <c r="C12" s="220"/>
      <c r="D12" s="1098">
        <f>VLOOKUP(A12,TB!$A:$E,5,FALSE)</f>
        <v>77158.53</v>
      </c>
      <c r="E12" s="520"/>
      <c r="F12" s="443"/>
      <c r="G12" s="443"/>
      <c r="H12" s="114">
        <f t="shared" si="0"/>
        <v>77158.53</v>
      </c>
      <c r="I12" s="449">
        <v>85686.99</v>
      </c>
      <c r="J12" s="449">
        <v>82673.9</v>
      </c>
      <c r="K12" s="187">
        <f t="shared" si="1"/>
        <v>-5.515369999999995</v>
      </c>
      <c r="L12" s="679">
        <f t="shared" si="2"/>
        <v>-0.06671234815340749</v>
      </c>
      <c r="M12" s="347">
        <f t="shared" si="3"/>
        <v>-8.528460000000006</v>
      </c>
      <c r="N12" s="654">
        <f>M12/I12*1000</f>
        <v>-0.09953039545443253</v>
      </c>
    </row>
    <row r="13" spans="1:14" ht="11.25">
      <c r="A13" s="221">
        <v>115180</v>
      </c>
      <c r="B13" s="209" t="s">
        <v>509</v>
      </c>
      <c r="C13" s="220"/>
      <c r="D13" s="1098">
        <f>VLOOKUP(A13,TB!$A:$E,5,FALSE)</f>
        <v>105626677.72</v>
      </c>
      <c r="E13" s="520"/>
      <c r="F13" s="443"/>
      <c r="G13" s="443"/>
      <c r="H13" s="114">
        <f t="shared" si="0"/>
        <v>105626677.72</v>
      </c>
      <c r="I13" s="449">
        <v>86883149.88</v>
      </c>
      <c r="J13" s="449">
        <v>127197551.33</v>
      </c>
      <c r="K13" s="187">
        <f t="shared" si="1"/>
        <v>-21570.87361</v>
      </c>
      <c r="L13" s="679">
        <f t="shared" si="2"/>
        <v>-0.1695856043174664</v>
      </c>
      <c r="M13" s="347">
        <f t="shared" si="3"/>
        <v>18743.527840000002</v>
      </c>
      <c r="N13" s="654">
        <f>M13/I13*1000</f>
        <v>0.21573260023247218</v>
      </c>
    </row>
    <row r="14" spans="1:14" ht="11.25">
      <c r="A14" s="221">
        <v>115220</v>
      </c>
      <c r="B14" s="209" t="s">
        <v>510</v>
      </c>
      <c r="C14" s="220"/>
      <c r="D14" s="1098">
        <f>VLOOKUP(A14,TB!$A:$E,5,FALSE)</f>
        <v>0</v>
      </c>
      <c r="E14" s="520"/>
      <c r="F14" s="443"/>
      <c r="G14" s="443"/>
      <c r="H14" s="114">
        <f t="shared" si="0"/>
        <v>0</v>
      </c>
      <c r="I14" s="449">
        <v>0</v>
      </c>
      <c r="J14" s="449">
        <v>0</v>
      </c>
      <c r="K14" s="187">
        <f t="shared" si="1"/>
        <v>0</v>
      </c>
      <c r="L14" s="679"/>
      <c r="M14" s="347">
        <f t="shared" si="3"/>
        <v>0</v>
      </c>
      <c r="N14" s="654"/>
    </row>
    <row r="15" spans="1:14" ht="11.25">
      <c r="A15" s="221">
        <v>115230</v>
      </c>
      <c r="B15" s="209" t="s">
        <v>511</v>
      </c>
      <c r="C15" s="220"/>
      <c r="D15" s="1098">
        <f>VLOOKUP(A15,TB!$A:$E,5,FALSE)</f>
        <v>0</v>
      </c>
      <c r="E15" s="520"/>
      <c r="F15" s="443"/>
      <c r="G15" s="443"/>
      <c r="H15" s="114">
        <f t="shared" si="0"/>
        <v>0</v>
      </c>
      <c r="I15" s="449">
        <v>0</v>
      </c>
      <c r="J15" s="449">
        <v>0</v>
      </c>
      <c r="K15" s="187">
        <f t="shared" si="1"/>
        <v>0</v>
      </c>
      <c r="L15" s="679"/>
      <c r="M15" s="347">
        <f t="shared" si="3"/>
        <v>0</v>
      </c>
      <c r="N15" s="654"/>
    </row>
    <row r="16" spans="1:14" ht="11.25">
      <c r="A16" s="221">
        <v>115240</v>
      </c>
      <c r="B16" s="209" t="s">
        <v>512</v>
      </c>
      <c r="C16" s="220"/>
      <c r="D16" s="1098">
        <f>VLOOKUP(A16,TB!$A:$E,5,FALSE)</f>
        <v>0</v>
      </c>
      <c r="E16" s="520"/>
      <c r="F16" s="443"/>
      <c r="G16" s="443"/>
      <c r="H16" s="114">
        <f t="shared" si="0"/>
        <v>0</v>
      </c>
      <c r="I16" s="449">
        <v>0</v>
      </c>
      <c r="J16" s="667">
        <v>0</v>
      </c>
      <c r="K16" s="187">
        <f t="shared" si="1"/>
        <v>0</v>
      </c>
      <c r="L16" s="679"/>
      <c r="M16" s="347">
        <f t="shared" si="3"/>
        <v>0</v>
      </c>
      <c r="N16" s="654"/>
    </row>
    <row r="17" spans="1:14" ht="11.25">
      <c r="A17" s="221">
        <v>115250</v>
      </c>
      <c r="B17" s="209" t="s">
        <v>513</v>
      </c>
      <c r="C17" s="220"/>
      <c r="D17" s="1098">
        <f>VLOOKUP(A17,TB!$A:$E,5,FALSE)</f>
        <v>1224757.37</v>
      </c>
      <c r="E17" s="519"/>
      <c r="F17" s="443"/>
      <c r="G17" s="443"/>
      <c r="H17" s="114">
        <f t="shared" si="0"/>
        <v>1224757.37</v>
      </c>
      <c r="I17" s="449">
        <v>3293979.48</v>
      </c>
      <c r="J17" s="449">
        <v>6561095.84</v>
      </c>
      <c r="K17" s="187">
        <f t="shared" si="1"/>
        <v>-5336.33847</v>
      </c>
      <c r="L17" s="679">
        <f t="shared" si="2"/>
        <v>-0.8133303643374306</v>
      </c>
      <c r="M17" s="347">
        <f t="shared" si="3"/>
        <v>-2069.2221099999997</v>
      </c>
      <c r="N17" s="654">
        <f>M17/I17*1000</f>
        <v>-0.6281830602053416</v>
      </c>
    </row>
    <row r="18" spans="1:14" ht="11.25">
      <c r="A18" s="221">
        <v>115260</v>
      </c>
      <c r="B18" s="209" t="s">
        <v>514</v>
      </c>
      <c r="C18" s="220"/>
      <c r="D18" s="1098">
        <f>VLOOKUP(A18,TB!$A:$E,5,FALSE)</f>
        <v>0</v>
      </c>
      <c r="E18" s="520"/>
      <c r="F18" s="443"/>
      <c r="G18" s="443"/>
      <c r="H18" s="114">
        <f t="shared" si="0"/>
        <v>0</v>
      </c>
      <c r="I18" s="449">
        <v>0</v>
      </c>
      <c r="J18" s="667">
        <v>0</v>
      </c>
      <c r="K18" s="187">
        <f t="shared" si="1"/>
        <v>0</v>
      </c>
      <c r="L18" s="679"/>
      <c r="M18" s="347">
        <f t="shared" si="3"/>
        <v>0</v>
      </c>
      <c r="N18" s="654"/>
    </row>
    <row r="19" spans="1:14" ht="11.25">
      <c r="A19" s="221">
        <v>115270</v>
      </c>
      <c r="B19" s="209" t="s">
        <v>515</v>
      </c>
      <c r="C19" s="220"/>
      <c r="D19" s="1098">
        <f>VLOOKUP(A19,TB!$A:$E,5,FALSE)</f>
        <v>-21568700.17</v>
      </c>
      <c r="E19" s="1099"/>
      <c r="F19" s="443">
        <f>'Audit Adj'!E8</f>
        <v>20975595.91</v>
      </c>
      <c r="G19" s="443"/>
      <c r="H19" s="114">
        <f>D19+F19-G19+F20+F21</f>
        <v>-593104.2600000016</v>
      </c>
      <c r="I19" s="449">
        <v>-2690921.37</v>
      </c>
      <c r="J19" s="449">
        <v>-4520146.11</v>
      </c>
      <c r="K19" s="187">
        <f t="shared" si="1"/>
        <v>3927.0418499999987</v>
      </c>
      <c r="L19" s="679">
        <f t="shared" si="2"/>
        <v>-0.8687864848687377</v>
      </c>
      <c r="M19" s="347">
        <f t="shared" si="3"/>
        <v>2097.8171099999986</v>
      </c>
      <c r="N19" s="654">
        <f>M19/I19*1000</f>
        <v>-0.779590638874743</v>
      </c>
    </row>
    <row r="20" spans="1:14" ht="11.25">
      <c r="A20" s="221"/>
      <c r="B20" s="209"/>
      <c r="C20" s="220"/>
      <c r="D20" s="1098"/>
      <c r="E20" s="1099"/>
      <c r="F20" s="443"/>
      <c r="G20" s="443"/>
      <c r="H20" s="114"/>
      <c r="I20" s="449"/>
      <c r="J20" s="449"/>
      <c r="K20" s="187"/>
      <c r="L20" s="679"/>
      <c r="M20" s="347"/>
      <c r="N20" s="654"/>
    </row>
    <row r="21" spans="1:14" ht="11.25">
      <c r="A21" s="221"/>
      <c r="B21" s="209"/>
      <c r="C21" s="220"/>
      <c r="D21" s="1098"/>
      <c r="E21" s="1099"/>
      <c r="F21" s="443"/>
      <c r="G21" s="443"/>
      <c r="H21" s="114"/>
      <c r="I21" s="449"/>
      <c r="J21" s="449"/>
      <c r="K21" s="187"/>
      <c r="L21" s="679"/>
      <c r="M21" s="347"/>
      <c r="N21" s="654"/>
    </row>
    <row r="22" spans="1:14" ht="11.25">
      <c r="A22" s="221">
        <v>115280</v>
      </c>
      <c r="B22" s="209" t="s">
        <v>516</v>
      </c>
      <c r="C22" s="220"/>
      <c r="D22" s="1098">
        <f>VLOOKUP(A22,TB!$A:$E,5,FALSE)</f>
        <v>43040.68</v>
      </c>
      <c r="E22" s="519"/>
      <c r="F22" s="443"/>
      <c r="G22" s="443"/>
      <c r="H22" s="114">
        <f aca="true" t="shared" si="4" ref="H22:H30">D22+F22-G22</f>
        <v>43040.68</v>
      </c>
      <c r="I22" s="449">
        <v>43240.68</v>
      </c>
      <c r="J22" s="449">
        <v>43240.68</v>
      </c>
      <c r="K22" s="187">
        <f aca="true" t="shared" si="5" ref="K22:K27">(H22-J22)/1000</f>
        <v>-0.2</v>
      </c>
      <c r="L22" s="679">
        <f t="shared" si="2"/>
        <v>-0.00462527416312602</v>
      </c>
      <c r="M22" s="347">
        <f t="shared" si="3"/>
        <v>-0.2</v>
      </c>
      <c r="N22" s="654">
        <f>M22/I22*1000</f>
        <v>-0.00462527416312602</v>
      </c>
    </row>
    <row r="23" spans="1:14" ht="11.25">
      <c r="A23" s="221">
        <v>115290</v>
      </c>
      <c r="B23" s="209" t="s">
        <v>943</v>
      </c>
      <c r="C23" s="220"/>
      <c r="D23" s="1098">
        <f>VLOOKUP(A23,TB!$A:$E,5,FALSE)</f>
        <v>14356.68</v>
      </c>
      <c r="E23" s="519"/>
      <c r="F23" s="443"/>
      <c r="G23" s="443"/>
      <c r="H23" s="114">
        <f t="shared" si="4"/>
        <v>14356.68</v>
      </c>
      <c r="I23" s="449">
        <v>14456.68</v>
      </c>
      <c r="J23" s="449">
        <v>14356.68</v>
      </c>
      <c r="K23" s="187">
        <f t="shared" si="5"/>
        <v>0</v>
      </c>
      <c r="L23" s="679">
        <f t="shared" si="2"/>
        <v>0</v>
      </c>
      <c r="M23" s="347">
        <f t="shared" si="3"/>
        <v>-0.1</v>
      </c>
      <c r="N23" s="654">
        <f>M23/I23*1000</f>
        <v>-0.006917217507754201</v>
      </c>
    </row>
    <row r="24" spans="1:14" ht="11.25">
      <c r="A24" s="221">
        <v>211110</v>
      </c>
      <c r="B24" s="209" t="s">
        <v>517</v>
      </c>
      <c r="C24" s="220"/>
      <c r="D24" s="1098">
        <f>VLOOKUP(A24,TB!$A:$E,5,FALSE)</f>
        <v>1101679.5</v>
      </c>
      <c r="E24" s="520"/>
      <c r="F24" s="443"/>
      <c r="G24" s="443"/>
      <c r="H24" s="114">
        <f t="shared" si="4"/>
        <v>1101679.5</v>
      </c>
      <c r="I24" s="449">
        <v>2892752.9</v>
      </c>
      <c r="J24" s="449">
        <v>9853684.33</v>
      </c>
      <c r="K24" s="187">
        <f t="shared" si="5"/>
        <v>-8752.00483</v>
      </c>
      <c r="L24" s="679">
        <f t="shared" si="2"/>
        <v>-0.888196184989823</v>
      </c>
      <c r="M24" s="347">
        <f t="shared" si="3"/>
        <v>-1791.0734</v>
      </c>
      <c r="N24" s="654">
        <f>M24/I24*1000</f>
        <v>-0.61915879507026</v>
      </c>
    </row>
    <row r="25" spans="1:14" ht="11.25">
      <c r="A25" s="221">
        <v>211130</v>
      </c>
      <c r="B25" s="209" t="s">
        <v>518</v>
      </c>
      <c r="C25" s="220"/>
      <c r="D25" s="1098">
        <f>VLOOKUP(A25,TB!$A:$E,5,FALSE)</f>
        <v>0</v>
      </c>
      <c r="E25" s="520"/>
      <c r="F25" s="443"/>
      <c r="G25" s="443"/>
      <c r="H25" s="114">
        <f t="shared" si="4"/>
        <v>0</v>
      </c>
      <c r="I25" s="449">
        <v>0</v>
      </c>
      <c r="J25" s="449">
        <v>0</v>
      </c>
      <c r="K25" s="187">
        <f t="shared" si="5"/>
        <v>0</v>
      </c>
      <c r="L25" s="679"/>
      <c r="M25" s="347">
        <f t="shared" si="3"/>
        <v>0</v>
      </c>
      <c r="N25" s="654"/>
    </row>
    <row r="26" spans="1:14" ht="11.25">
      <c r="A26" s="221">
        <v>211150</v>
      </c>
      <c r="B26" s="209" t="s">
        <v>519</v>
      </c>
      <c r="C26" s="220"/>
      <c r="D26" s="1098">
        <f>VLOOKUP(A26,TB!$A:$E,5,FALSE)</f>
        <v>1545649.09</v>
      </c>
      <c r="E26" s="520"/>
      <c r="F26" s="443"/>
      <c r="G26" s="443"/>
      <c r="H26" s="114">
        <f t="shared" si="4"/>
        <v>1545649.09</v>
      </c>
      <c r="I26" s="449">
        <v>1753987.44</v>
      </c>
      <c r="J26" s="449">
        <v>3193545.71</v>
      </c>
      <c r="K26" s="187">
        <f t="shared" si="5"/>
        <v>-1647.89662</v>
      </c>
      <c r="L26" s="679">
        <f t="shared" si="2"/>
        <v>-0.5160084650862881</v>
      </c>
      <c r="M26" s="347">
        <f t="shared" si="3"/>
        <v>-208.33834999999985</v>
      </c>
      <c r="N26" s="654">
        <f>M26/I26*1000</f>
        <v>-0.11877984143375614</v>
      </c>
    </row>
    <row r="27" spans="1:14" ht="11.25">
      <c r="A27" s="221">
        <v>211160</v>
      </c>
      <c r="B27" s="209" t="s">
        <v>520</v>
      </c>
      <c r="C27" s="220"/>
      <c r="D27" s="1098">
        <f>VLOOKUP(A27,TB!$A:$E,5,FALSE)</f>
        <v>175022.87</v>
      </c>
      <c r="E27" s="520"/>
      <c r="F27" s="443"/>
      <c r="G27" s="443"/>
      <c r="H27" s="114">
        <f t="shared" si="4"/>
        <v>175022.87</v>
      </c>
      <c r="I27" s="449">
        <v>175222.87</v>
      </c>
      <c r="J27" s="449">
        <v>175222.87</v>
      </c>
      <c r="K27" s="187">
        <f t="shared" si="5"/>
        <v>-0.2</v>
      </c>
      <c r="L27" s="679">
        <f t="shared" si="2"/>
        <v>-0.0011414035165615084</v>
      </c>
      <c r="M27" s="347">
        <f t="shared" si="3"/>
        <v>-0.2</v>
      </c>
      <c r="N27" s="654">
        <f>M27/I27*1000</f>
        <v>-0.0011414035165615084</v>
      </c>
    </row>
    <row r="28" spans="1:14" ht="11.25">
      <c r="A28" s="221"/>
      <c r="B28" s="209"/>
      <c r="C28" s="220"/>
      <c r="D28" s="419"/>
      <c r="E28" s="520"/>
      <c r="F28" s="443"/>
      <c r="G28" s="443"/>
      <c r="H28" s="114">
        <f t="shared" si="4"/>
        <v>0</v>
      </c>
      <c r="I28" s="449">
        <v>0</v>
      </c>
      <c r="J28" s="449"/>
      <c r="K28" s="187"/>
      <c r="L28" s="679"/>
      <c r="M28" s="347"/>
      <c r="N28" s="654"/>
    </row>
    <row r="29" spans="1:14" ht="11.25">
      <c r="A29" s="91"/>
      <c r="B29" s="106" t="s">
        <v>571</v>
      </c>
      <c r="C29" s="91"/>
      <c r="D29" s="419"/>
      <c r="E29" s="519"/>
      <c r="F29" s="443"/>
      <c r="G29" s="443"/>
      <c r="H29" s="114">
        <f t="shared" si="4"/>
        <v>0</v>
      </c>
      <c r="I29" s="449">
        <v>0</v>
      </c>
      <c r="J29" s="668"/>
      <c r="K29" s="187">
        <f>(H29-J29)/1000</f>
        <v>0</v>
      </c>
      <c r="L29" s="679"/>
      <c r="M29" s="347">
        <f t="shared" si="3"/>
        <v>0</v>
      </c>
      <c r="N29" s="654"/>
    </row>
    <row r="30" spans="1:14" ht="11.25">
      <c r="A30" s="901">
        <v>120240</v>
      </c>
      <c r="B30" s="109" t="s">
        <v>572</v>
      </c>
      <c r="C30" s="91"/>
      <c r="D30" s="1098">
        <f>VLOOKUP(A30,TB!$A:$E,5,FALSE)</f>
        <v>0</v>
      </c>
      <c r="E30" s="520"/>
      <c r="F30" s="443"/>
      <c r="G30" s="443"/>
      <c r="H30" s="114">
        <f t="shared" si="4"/>
        <v>0</v>
      </c>
      <c r="I30" s="449">
        <v>0</v>
      </c>
      <c r="J30" s="668">
        <v>0</v>
      </c>
      <c r="K30" s="187">
        <f>(H30-J30)/1000</f>
        <v>0</v>
      </c>
      <c r="L30" s="679"/>
      <c r="M30" s="347">
        <f t="shared" si="3"/>
        <v>0</v>
      </c>
      <c r="N30" s="654"/>
    </row>
    <row r="31" spans="1:14" ht="11.25">
      <c r="A31" s="222"/>
      <c r="B31" s="222"/>
      <c r="C31" s="223"/>
      <c r="D31" s="446"/>
      <c r="E31" s="519"/>
      <c r="F31" s="443"/>
      <c r="G31" s="443"/>
      <c r="H31" s="114"/>
      <c r="I31" s="451"/>
      <c r="J31" s="451"/>
      <c r="K31" s="429">
        <f>IF(H31&lt;&gt;0,(+H31-J31)/1000,IF(J31&lt;&gt;0,(H31-J31)/1000,""))</f>
      </c>
      <c r="L31" s="438">
        <f>IF(H31&lt;&gt;0,IF(J31=0,1,+K31/J31*1000),IF(J31&lt;&gt;0,+K31/J31*1000,""))</f>
      </c>
      <c r="M31" s="44"/>
      <c r="N31" s="16"/>
    </row>
    <row r="32" spans="1:14" ht="11.25">
      <c r="A32" s="100"/>
      <c r="B32" s="100" t="s">
        <v>521</v>
      </c>
      <c r="C32" s="122"/>
      <c r="D32" s="422">
        <f>SUM(D8:D31)</f>
        <v>94025202.10000002</v>
      </c>
      <c r="E32" s="459">
        <f>SUM(E8:E31)</f>
        <v>0</v>
      </c>
      <c r="F32" s="669">
        <f>SUM(F7:F31)</f>
        <v>20975595.91</v>
      </c>
      <c r="G32" s="459">
        <f>SUM(G7:G31)</f>
        <v>0</v>
      </c>
      <c r="H32" s="102">
        <f>SUM(H7:H31)</f>
        <v>115000798.01000002</v>
      </c>
      <c r="I32" s="460">
        <v>103958792.04000002</v>
      </c>
      <c r="J32" s="460">
        <f>SUM(J7:J31)</f>
        <v>160683166.49000004</v>
      </c>
      <c r="K32" s="295">
        <f>(H32-J32)/1000</f>
        <v>-45682.36848000002</v>
      </c>
      <c r="L32" s="436">
        <f>K32/J32*1000</f>
        <v>-0.28430089771004746</v>
      </c>
      <c r="M32" s="749">
        <f>(H32-I32)/1000</f>
        <v>11042.005969999998</v>
      </c>
      <c r="N32" s="296">
        <f>M32/I32*1000</f>
        <v>0.10621522002440532</v>
      </c>
    </row>
    <row r="33" spans="1:14" ht="11.25">
      <c r="A33" s="91"/>
      <c r="B33" s="205" t="s">
        <v>138</v>
      </c>
      <c r="C33" s="136"/>
      <c r="D33" s="446"/>
      <c r="E33" s="519"/>
      <c r="F33" s="443"/>
      <c r="G33" s="443"/>
      <c r="H33" s="544">
        <f>H32-'Control BS'!H8</f>
        <v>0</v>
      </c>
      <c r="I33" s="443">
        <f>I32-'Control BS'!I8</f>
        <v>0</v>
      </c>
      <c r="J33" s="12">
        <f>ROUND(J32,0)-'Control BS'!J8</f>
        <v>0</v>
      </c>
      <c r="K33" s="429">
        <f>IF(H33&lt;&gt;0,(+H33-J33)/1000,IF(J33&lt;&gt;0,(H33-J33)/1000,""))</f>
      </c>
      <c r="L33" s="438">
        <f>IF(H33&lt;&gt;0,IF(J33=0,1,+K33/J33*1000),IF(J33&lt;&gt;0,+K33/J33*1000,""))</f>
      </c>
      <c r="M33" s="655"/>
      <c r="N33" s="654"/>
    </row>
    <row r="34" spans="1:14" ht="11.25">
      <c r="A34" s="901">
        <v>212140</v>
      </c>
      <c r="B34" s="206" t="s">
        <v>879</v>
      </c>
      <c r="C34" s="136"/>
      <c r="D34" s="1074">
        <f>VLOOKUP(A34,TB!$A:$E,5,FALSE)</f>
        <v>0</v>
      </c>
      <c r="E34" s="670"/>
      <c r="F34" s="443"/>
      <c r="G34" s="443"/>
      <c r="H34" s="447">
        <f>D34+F34-G34</f>
        <v>0</v>
      </c>
      <c r="I34" s="449">
        <v>0</v>
      </c>
      <c r="J34" s="463"/>
      <c r="K34" s="187">
        <f>(H34-J34)/1000</f>
        <v>0</v>
      </c>
      <c r="L34" s="679"/>
      <c r="M34" s="655">
        <f>(H34-I34)/1000</f>
        <v>0</v>
      </c>
      <c r="N34" s="654"/>
    </row>
    <row r="35" spans="1:14" ht="11.25">
      <c r="A35" s="208"/>
      <c r="B35" s="224" t="s">
        <v>880</v>
      </c>
      <c r="C35" s="122"/>
      <c r="D35" s="591">
        <f>SUM(D34)</f>
        <v>0</v>
      </c>
      <c r="E35" s="470"/>
      <c r="F35" s="671">
        <f>F34</f>
        <v>0</v>
      </c>
      <c r="G35" s="641">
        <f>G34</f>
        <v>0</v>
      </c>
      <c r="H35" s="433"/>
      <c r="I35" s="644"/>
      <c r="J35" s="644">
        <f>SUM(J34)</f>
        <v>0</v>
      </c>
      <c r="K35" s="295">
        <f>(H35-J35)/1000</f>
        <v>0</v>
      </c>
      <c r="L35" s="436"/>
      <c r="M35" s="749">
        <f>(H35-I35)/1000</f>
        <v>0</v>
      </c>
      <c r="N35" s="296"/>
    </row>
    <row r="36" spans="1:14" ht="11.25">
      <c r="A36" s="28">
        <v>144111</v>
      </c>
      <c r="B36" s="206" t="s">
        <v>961</v>
      </c>
      <c r="C36" s="136"/>
      <c r="D36" s="1074">
        <f>VLOOKUP(A36,TB!$A:$E,5,FALSE)</f>
        <v>0</v>
      </c>
      <c r="E36" s="551"/>
      <c r="F36" s="443"/>
      <c r="G36" s="443"/>
      <c r="H36" s="447">
        <f>D36+F36-G36</f>
        <v>0</v>
      </c>
      <c r="I36" s="449">
        <v>0</v>
      </c>
      <c r="J36" s="620"/>
      <c r="K36" s="187">
        <f>(H36-J36)/1000</f>
        <v>0</v>
      </c>
      <c r="L36" s="679"/>
      <c r="M36" s="655">
        <f>(H36-I36)/1000</f>
        <v>0</v>
      </c>
      <c r="N36" s="654"/>
    </row>
    <row r="37" spans="1:14" ht="11.25">
      <c r="A37" s="28">
        <v>245102</v>
      </c>
      <c r="B37" s="206" t="s">
        <v>962</v>
      </c>
      <c r="C37" s="136"/>
      <c r="D37" s="1074">
        <f>VLOOKUP(A37,TB!$A:$E,5,FALSE)</f>
        <v>0</v>
      </c>
      <c r="E37" s="670"/>
      <c r="F37" s="443"/>
      <c r="G37" s="443"/>
      <c r="H37" s="447">
        <f>D37+F37-G37</f>
        <v>0</v>
      </c>
      <c r="I37" s="449">
        <v>0</v>
      </c>
      <c r="J37" s="620"/>
      <c r="K37" s="187">
        <f>(H37-J37)/1000</f>
        <v>0</v>
      </c>
      <c r="L37" s="679"/>
      <c r="M37" s="655">
        <f>(H37-I37)/1000</f>
        <v>0</v>
      </c>
      <c r="N37" s="654"/>
    </row>
    <row r="38" spans="1:14" ht="11.25">
      <c r="A38" s="208"/>
      <c r="B38" s="224" t="s">
        <v>963</v>
      </c>
      <c r="C38" s="122"/>
      <c r="D38" s="458">
        <f>SUM(D36:D37)</f>
        <v>0</v>
      </c>
      <c r="E38" s="470"/>
      <c r="F38" s="671"/>
      <c r="G38" s="641">
        <f>SUM(G36:G37)</f>
        <v>0</v>
      </c>
      <c r="H38" s="459">
        <f>SUM(H36:H37)</f>
        <v>0</v>
      </c>
      <c r="I38" s="460">
        <v>0</v>
      </c>
      <c r="J38" s="460">
        <f>SUM(J36:J37)</f>
        <v>0</v>
      </c>
      <c r="K38" s="295">
        <f>(H38-J38)/1000</f>
        <v>0</v>
      </c>
      <c r="L38" s="436"/>
      <c r="M38" s="749">
        <f>(H38-I38)/1000</f>
        <v>0</v>
      </c>
      <c r="N38" s="296"/>
    </row>
    <row r="39" ht="11.25">
      <c r="J39" s="231" t="s">
        <v>1140</v>
      </c>
    </row>
    <row r="40" ht="11.25">
      <c r="A40" s="1" t="s">
        <v>1141</v>
      </c>
    </row>
    <row r="41" ht="11.25">
      <c r="A41" s="1" t="s">
        <v>167</v>
      </c>
    </row>
  </sheetData>
  <mergeCells count="8">
    <mergeCell ref="M2:N2"/>
    <mergeCell ref="M3:N3"/>
    <mergeCell ref="M4:N4"/>
    <mergeCell ref="K4:L4"/>
    <mergeCell ref="E2:G2"/>
    <mergeCell ref="K2:L2"/>
    <mergeCell ref="E3:G3"/>
    <mergeCell ref="K3:L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pane xSplit="3" ySplit="5" topLeftCell="D6" activePane="bottomRight" state="frozen"/>
      <selection pane="topLeft" activeCell="G30" sqref="G30"/>
      <selection pane="topRight" activeCell="G30" sqref="G30"/>
      <selection pane="bottomLeft" activeCell="G30" sqref="G30"/>
      <selection pane="bottomRight" activeCell="G30" sqref="G30"/>
    </sheetView>
  </sheetViews>
  <sheetFormatPr defaultColWidth="9.140625" defaultRowHeight="21.75"/>
  <cols>
    <col min="1" max="1" width="9.00390625" style="51" customWidth="1"/>
    <col min="2" max="2" width="27.57421875" style="51" bestFit="1" customWidth="1"/>
    <col min="3" max="3" width="3.57421875" style="51" bestFit="1" customWidth="1"/>
    <col min="4" max="4" width="10.7109375" style="626" bestFit="1" customWidth="1"/>
    <col min="5" max="5" width="7.57421875" style="54" customWidth="1"/>
    <col min="6" max="6" width="7.421875" style="54" customWidth="1"/>
    <col min="7" max="7" width="10.8515625" style="54" customWidth="1"/>
    <col min="8" max="8" width="10.7109375" style="54" bestFit="1" customWidth="1"/>
    <col min="9" max="9" width="10.7109375" style="54" customWidth="1"/>
    <col min="10" max="10" width="10.7109375" style="54" bestFit="1" customWidth="1"/>
    <col min="11" max="11" width="8.140625" style="54" customWidth="1"/>
    <col min="12" max="12" width="6.140625" style="62" bestFit="1" customWidth="1"/>
    <col min="13" max="13" width="8.28125" style="51" customWidth="1"/>
    <col min="14" max="14" width="5.57421875" style="51" customWidth="1"/>
    <col min="15" max="15" width="10.8515625" style="51" customWidth="1"/>
    <col min="16" max="16" width="14.140625" style="51" bestFit="1" customWidth="1"/>
    <col min="17" max="18" width="10.7109375" style="51" bestFit="1" customWidth="1"/>
    <col min="19" max="16384" width="9.140625" style="51" customWidth="1"/>
  </cols>
  <sheetData>
    <row r="1" spans="1:3" ht="11.25">
      <c r="A1" s="60" t="s">
        <v>485</v>
      </c>
      <c r="B1" s="60"/>
      <c r="C1" s="60"/>
    </row>
    <row r="2" spans="1:14" ht="11.25">
      <c r="A2" s="63"/>
      <c r="B2" s="64"/>
      <c r="C2" s="63"/>
      <c r="D2" s="1055" t="str">
        <f>'Control BS'!D2</f>
        <v>Quarter 1'08</v>
      </c>
      <c r="E2" s="1686" t="s">
        <v>486</v>
      </c>
      <c r="F2" s="1699"/>
      <c r="G2" s="1700"/>
      <c r="H2" s="1055" t="str">
        <f>'Control BS'!H2</f>
        <v>Quarter 1'08</v>
      </c>
      <c r="I2" s="66" t="s">
        <v>818</v>
      </c>
      <c r="J2" s="66" t="s">
        <v>954</v>
      </c>
      <c r="K2" s="1690" t="s">
        <v>487</v>
      </c>
      <c r="L2" s="1691"/>
      <c r="M2" s="1690" t="s">
        <v>487</v>
      </c>
      <c r="N2" s="1691"/>
    </row>
    <row r="3" spans="1:14" ht="11.25">
      <c r="A3" s="67" t="s">
        <v>488</v>
      </c>
      <c r="B3" s="68"/>
      <c r="C3" s="67"/>
      <c r="D3" s="1056">
        <f>'Control BS'!D3</f>
        <v>39538</v>
      </c>
      <c r="E3" s="1688" t="s">
        <v>489</v>
      </c>
      <c r="F3" s="1701"/>
      <c r="G3" s="1702"/>
      <c r="H3" s="1056">
        <f>'Control BS'!H3</f>
        <v>39538</v>
      </c>
      <c r="I3" s="166">
        <v>39172</v>
      </c>
      <c r="J3" s="166">
        <f>'3000'!J3</f>
        <v>39447</v>
      </c>
      <c r="K3" s="1692" t="s">
        <v>490</v>
      </c>
      <c r="L3" s="1693"/>
      <c r="M3" s="1692" t="s">
        <v>1121</v>
      </c>
      <c r="N3" s="1693"/>
    </row>
    <row r="4" spans="1:14" ht="12.75">
      <c r="A4" s="73" t="s">
        <v>491</v>
      </c>
      <c r="B4" s="74" t="s">
        <v>492</v>
      </c>
      <c r="C4" s="73" t="s">
        <v>493</v>
      </c>
      <c r="D4" s="1059" t="s">
        <v>869</v>
      </c>
      <c r="E4" s="75" t="s">
        <v>494</v>
      </c>
      <c r="F4" s="76" t="s">
        <v>495</v>
      </c>
      <c r="G4" s="77" t="s">
        <v>496</v>
      </c>
      <c r="H4" s="1059" t="s">
        <v>869</v>
      </c>
      <c r="I4" s="358" t="s">
        <v>869</v>
      </c>
      <c r="J4" s="358" t="s">
        <v>885</v>
      </c>
      <c r="K4" s="1694" t="str">
        <f>'3000'!K4:L4</f>
        <v>compare to YE'07</v>
      </c>
      <c r="L4" s="1706"/>
      <c r="M4" s="1694" t="str">
        <f>'3000'!M4:N4</f>
        <v>From Q1'07</v>
      </c>
      <c r="N4" s="1706"/>
    </row>
    <row r="5" spans="1:14" ht="11.25">
      <c r="A5" s="81"/>
      <c r="B5" s="82"/>
      <c r="C5" s="82"/>
      <c r="D5" s="1060" t="s">
        <v>497</v>
      </c>
      <c r="E5" s="83" t="s">
        <v>498</v>
      </c>
      <c r="F5" s="77" t="s">
        <v>497</v>
      </c>
      <c r="G5" s="77" t="s">
        <v>497</v>
      </c>
      <c r="H5" s="1060" t="s">
        <v>497</v>
      </c>
      <c r="I5" s="85" t="s">
        <v>497</v>
      </c>
      <c r="J5" s="85" t="s">
        <v>497</v>
      </c>
      <c r="K5" s="72" t="s">
        <v>499</v>
      </c>
      <c r="L5" s="424" t="s">
        <v>500</v>
      </c>
      <c r="M5" s="72" t="s">
        <v>499</v>
      </c>
      <c r="N5" s="424" t="s">
        <v>500</v>
      </c>
    </row>
    <row r="6" spans="1:14" ht="11.25">
      <c r="A6" s="106"/>
      <c r="B6" s="20"/>
      <c r="C6" s="87"/>
      <c r="D6" s="421"/>
      <c r="E6" s="88"/>
      <c r="F6" s="89"/>
      <c r="G6" s="89"/>
      <c r="H6" s="306"/>
      <c r="I6" s="359"/>
      <c r="J6" s="359"/>
      <c r="K6" s="1091"/>
      <c r="L6" s="434"/>
      <c r="M6" s="255"/>
      <c r="N6" s="235"/>
    </row>
    <row r="7" spans="1:14" ht="11.25">
      <c r="A7" s="22"/>
      <c r="B7" s="86"/>
      <c r="C7" s="91"/>
      <c r="D7" s="421"/>
      <c r="E7" s="199"/>
      <c r="F7" s="36"/>
      <c r="G7" s="36"/>
      <c r="H7" s="1061"/>
      <c r="I7" s="360"/>
      <c r="J7" s="360"/>
      <c r="K7" s="183"/>
      <c r="L7" s="434"/>
      <c r="M7" s="255"/>
      <c r="N7" s="235"/>
    </row>
    <row r="8" spans="1:14" ht="11.25">
      <c r="A8" s="28"/>
      <c r="B8" s="106" t="s">
        <v>666</v>
      </c>
      <c r="C8" s="91"/>
      <c r="D8" s="288"/>
      <c r="E8" s="199"/>
      <c r="F8" s="36"/>
      <c r="G8" s="36"/>
      <c r="H8" s="1061"/>
      <c r="I8" s="360"/>
      <c r="J8" s="360"/>
      <c r="K8" s="183"/>
      <c r="L8" s="434"/>
      <c r="M8" s="255"/>
      <c r="N8" s="235"/>
    </row>
    <row r="9" spans="1:14" ht="11.25">
      <c r="A9" s="901">
        <v>125110</v>
      </c>
      <c r="B9" s="109" t="s">
        <v>559</v>
      </c>
      <c r="C9" s="91"/>
      <c r="D9" s="1074">
        <f>VLOOKUP(A9,TB!$A:$E,5,FALSE)</f>
        <v>220806812.94</v>
      </c>
      <c r="E9" s="214"/>
      <c r="F9" s="139"/>
      <c r="G9" s="139"/>
      <c r="H9" s="447">
        <f>D9+F9-G9</f>
        <v>220806812.94</v>
      </c>
      <c r="I9" s="361">
        <v>135885710.07</v>
      </c>
      <c r="J9" s="361">
        <v>216720364.64000005</v>
      </c>
      <c r="K9" s="187">
        <f>(H9-J9)/1000</f>
        <v>4086.4482999999523</v>
      </c>
      <c r="L9" s="679">
        <f>K9/J9*1000</f>
        <v>0.0188558574400152</v>
      </c>
      <c r="M9" s="347">
        <f>(H9-I9)/1000</f>
        <v>84921.10287</v>
      </c>
      <c r="N9" s="654">
        <f>M9/I9*1000</f>
        <v>0.6249450573298241</v>
      </c>
    </row>
    <row r="10" spans="1:14" ht="11.25">
      <c r="A10" s="901">
        <v>125140</v>
      </c>
      <c r="B10" s="109" t="s">
        <v>667</v>
      </c>
      <c r="C10" s="91"/>
      <c r="D10" s="1074">
        <f>VLOOKUP(A10,TB!$A:$E,5,FALSE)</f>
        <v>0</v>
      </c>
      <c r="E10" s="214"/>
      <c r="F10" s="139"/>
      <c r="G10" s="139"/>
      <c r="H10" s="447">
        <f>D10+F10-G10</f>
        <v>0</v>
      </c>
      <c r="I10" s="361">
        <v>0</v>
      </c>
      <c r="J10" s="361">
        <v>0</v>
      </c>
      <c r="K10" s="187">
        <f>(H10-J10)/1000</f>
        <v>0</v>
      </c>
      <c r="L10" s="679"/>
      <c r="M10" s="347">
        <f aca="true" t="shared" si="0" ref="M10:M20">(H10-I10)/1000</f>
        <v>0</v>
      </c>
      <c r="N10" s="654"/>
    </row>
    <row r="11" spans="1:14" ht="11.25">
      <c r="A11" s="28"/>
      <c r="B11" s="109"/>
      <c r="C11" s="91"/>
      <c r="D11" s="698">
        <f>SUM(D9:D10)</f>
        <v>220806812.94</v>
      </c>
      <c r="E11" s="214"/>
      <c r="F11" s="215"/>
      <c r="G11" s="216"/>
      <c r="H11" s="1062">
        <f>SUM(H9:H10)</f>
        <v>220806812.94</v>
      </c>
      <c r="I11" s="362">
        <v>135885710.07</v>
      </c>
      <c r="J11" s="362">
        <f>SUM(J9:J10)</f>
        <v>216720364.64000005</v>
      </c>
      <c r="K11" s="603">
        <f>(H11-J11)/1000</f>
        <v>4086.4482999999523</v>
      </c>
      <c r="L11" s="745">
        <f aca="true" t="shared" si="1" ref="L11:L20">K11/J11*1000</f>
        <v>0.0188558574400152</v>
      </c>
      <c r="M11" s="603">
        <f t="shared" si="0"/>
        <v>84921.10287</v>
      </c>
      <c r="N11" s="748">
        <f>M11/I11*1000</f>
        <v>0.6249450573298241</v>
      </c>
    </row>
    <row r="12" spans="1:14" ht="11.25">
      <c r="A12" s="28"/>
      <c r="B12" s="106" t="s">
        <v>668</v>
      </c>
      <c r="C12" s="91"/>
      <c r="D12" s="597"/>
      <c r="E12" s="214"/>
      <c r="F12" s="153"/>
      <c r="G12" s="153"/>
      <c r="H12" s="137"/>
      <c r="I12" s="363"/>
      <c r="J12" s="363"/>
      <c r="K12" s="187"/>
      <c r="L12" s="679"/>
      <c r="M12" s="347"/>
      <c r="N12" s="654"/>
    </row>
    <row r="13" spans="1:14" ht="11.25">
      <c r="A13" s="901">
        <v>125120</v>
      </c>
      <c r="B13" s="109" t="s">
        <v>558</v>
      </c>
      <c r="C13" s="91"/>
      <c r="D13" s="1074">
        <f>VLOOKUP(A13,TB!$A:$E,5,FALSE)</f>
        <v>141666205.44</v>
      </c>
      <c r="E13" s="214"/>
      <c r="F13" s="153"/>
      <c r="G13" s="153"/>
      <c r="H13" s="447">
        <f>D13+F13-G13</f>
        <v>141666205.44</v>
      </c>
      <c r="I13" s="363">
        <v>140633722.68</v>
      </c>
      <c r="J13" s="363">
        <v>134819149.69</v>
      </c>
      <c r="K13" s="187">
        <f>(H13-J13)/1000</f>
        <v>6847.05575</v>
      </c>
      <c r="L13" s="679">
        <f t="shared" si="1"/>
        <v>0.05078696732433012</v>
      </c>
      <c r="M13" s="347">
        <f t="shared" si="0"/>
        <v>1032.4827599999905</v>
      </c>
      <c r="N13" s="654">
        <f>M13/I13*1000</f>
        <v>0.007341644239549263</v>
      </c>
    </row>
    <row r="14" spans="1:14" ht="11.25">
      <c r="A14" s="28"/>
      <c r="B14" s="109"/>
      <c r="C14" s="91"/>
      <c r="D14" s="698">
        <f>SUM(D13)</f>
        <v>141666205.44</v>
      </c>
      <c r="E14" s="214"/>
      <c r="F14" s="215"/>
      <c r="G14" s="216"/>
      <c r="H14" s="547">
        <f>SUM(H13)</f>
        <v>141666205.44</v>
      </c>
      <c r="I14" s="364">
        <v>140633722.68</v>
      </c>
      <c r="J14" s="364">
        <f>SUM(J13)</f>
        <v>134819149.69</v>
      </c>
      <c r="K14" s="603">
        <f>(H14-J14)/1000</f>
        <v>6847.05575</v>
      </c>
      <c r="L14" s="1010">
        <f t="shared" si="1"/>
        <v>0.05078696732433012</v>
      </c>
      <c r="M14" s="603">
        <f t="shared" si="0"/>
        <v>1032.4827599999905</v>
      </c>
      <c r="N14" s="748">
        <f>M14/I14*1000</f>
        <v>0.007341644239549263</v>
      </c>
    </row>
    <row r="15" spans="1:14" ht="11.25">
      <c r="A15" s="28"/>
      <c r="B15" s="109"/>
      <c r="C15" s="91"/>
      <c r="D15" s="597"/>
      <c r="E15" s="214"/>
      <c r="F15" s="139"/>
      <c r="G15" s="139"/>
      <c r="H15" s="137"/>
      <c r="I15" s="363"/>
      <c r="J15" s="363">
        <v>0</v>
      </c>
      <c r="K15" s="187"/>
      <c r="L15" s="679"/>
      <c r="M15" s="347"/>
      <c r="N15" s="654"/>
    </row>
    <row r="16" spans="1:14" ht="11.25">
      <c r="A16" s="901">
        <v>130110</v>
      </c>
      <c r="B16" s="33" t="s">
        <v>669</v>
      </c>
      <c r="C16" s="91"/>
      <c r="D16" s="1074">
        <f>VLOOKUP(A16,TB!$A:$E,5,FALSE)</f>
        <v>0</v>
      </c>
      <c r="E16" s="214"/>
      <c r="F16" s="139"/>
      <c r="G16" s="139"/>
      <c r="H16" s="447">
        <f>D16+F16-G16</f>
        <v>0</v>
      </c>
      <c r="I16" s="363">
        <v>0</v>
      </c>
      <c r="J16" s="363"/>
      <c r="K16" s="187">
        <f>(H16-J16)/1000</f>
        <v>0</v>
      </c>
      <c r="L16" s="679"/>
      <c r="M16" s="347">
        <f t="shared" si="0"/>
        <v>0</v>
      </c>
      <c r="N16" s="654"/>
    </row>
    <row r="17" spans="1:14" ht="11.25">
      <c r="A17" s="28"/>
      <c r="B17" s="109"/>
      <c r="C17" s="91"/>
      <c r="D17" s="1074"/>
      <c r="E17" s="214"/>
      <c r="F17" s="139"/>
      <c r="G17" s="139"/>
      <c r="H17" s="447">
        <f>D17+F17-G17</f>
        <v>0</v>
      </c>
      <c r="I17" s="361">
        <v>0</v>
      </c>
      <c r="J17" s="361"/>
      <c r="K17" s="187"/>
      <c r="L17" s="679"/>
      <c r="M17" s="347"/>
      <c r="N17" s="654"/>
    </row>
    <row r="18" spans="1:14" ht="11.25">
      <c r="A18" s="901">
        <v>125200</v>
      </c>
      <c r="B18" s="106" t="s">
        <v>670</v>
      </c>
      <c r="C18" s="91"/>
      <c r="D18" s="1074">
        <f>VLOOKUP(A18,TB!$A:$E,5,FALSE)</f>
        <v>-633094.98</v>
      </c>
      <c r="E18" s="937"/>
      <c r="F18" s="139"/>
      <c r="G18" s="139"/>
      <c r="H18" s="447">
        <f>D18+F18-G18</f>
        <v>-633094.98</v>
      </c>
      <c r="I18" s="361">
        <v>-1513247.29</v>
      </c>
      <c r="J18" s="361">
        <v>-1015498.44</v>
      </c>
      <c r="K18" s="187">
        <f>(H18-J18)/1000</f>
        <v>382.40345999999994</v>
      </c>
      <c r="L18" s="679">
        <f t="shared" si="1"/>
        <v>-0.3765672549925335</v>
      </c>
      <c r="M18" s="347">
        <f t="shared" si="0"/>
        <v>880.15231</v>
      </c>
      <c r="N18" s="654">
        <f>M18/I18*1000</f>
        <v>-0.5816315124542533</v>
      </c>
    </row>
    <row r="19" spans="1:14" ht="11.25">
      <c r="A19" s="22"/>
      <c r="B19" s="86"/>
      <c r="C19" s="91"/>
      <c r="D19" s="506"/>
      <c r="E19" s="214"/>
      <c r="F19" s="139"/>
      <c r="G19" s="139"/>
      <c r="H19" s="137"/>
      <c r="I19" s="361"/>
      <c r="J19" s="361"/>
      <c r="K19" s="187"/>
      <c r="L19" s="679"/>
      <c r="M19" s="347"/>
      <c r="N19" s="654"/>
    </row>
    <row r="20" spans="1:14" ht="11.25">
      <c r="A20" s="100"/>
      <c r="B20" s="100" t="s">
        <v>671</v>
      </c>
      <c r="C20" s="101"/>
      <c r="D20" s="507">
        <f>D11+D14+D16+D18</f>
        <v>361839923.4</v>
      </c>
      <c r="E20" s="298"/>
      <c r="F20" s="299">
        <f>F11+F14+F16+F18</f>
        <v>0</v>
      </c>
      <c r="G20" s="299">
        <f>G11+G14+G16+G18</f>
        <v>0</v>
      </c>
      <c r="H20" s="295">
        <f>H11+H14+H16+H18</f>
        <v>361839923.4</v>
      </c>
      <c r="I20" s="334">
        <v>275006185.46</v>
      </c>
      <c r="J20" s="334">
        <f>J11+J14+J16+J18</f>
        <v>350524015.89000005</v>
      </c>
      <c r="K20" s="603">
        <f>(H20-J20)/1000</f>
        <v>11315.90750999993</v>
      </c>
      <c r="L20" s="745">
        <f t="shared" si="1"/>
        <v>0.032282830839045956</v>
      </c>
      <c r="M20" s="603">
        <f t="shared" si="0"/>
        <v>86833.73793999999</v>
      </c>
      <c r="N20" s="748">
        <f>M20/I20*1000</f>
        <v>0.3157519449780888</v>
      </c>
    </row>
    <row r="21" spans="1:14" ht="11.25">
      <c r="A21" s="104"/>
      <c r="B21" s="104"/>
      <c r="C21" s="104"/>
      <c r="J21" s="1201" t="s">
        <v>1140</v>
      </c>
      <c r="K21" s="51"/>
      <c r="L21" s="51"/>
      <c r="N21" s="338"/>
    </row>
    <row r="22" spans="1:14" ht="11.25">
      <c r="A22" s="1" t="s">
        <v>1141</v>
      </c>
      <c r="B22" s="300"/>
      <c r="I22" s="141">
        <f>I20-'Control BS'!I10</f>
        <v>0</v>
      </c>
      <c r="J22" s="141">
        <f>ROUND(J20,0)-'Control BS'!J10</f>
        <v>0</v>
      </c>
      <c r="K22" s="51"/>
      <c r="L22" s="51"/>
      <c r="N22" s="338"/>
    </row>
    <row r="23" spans="1:12" ht="11.25">
      <c r="A23" s="1" t="s">
        <v>167</v>
      </c>
      <c r="E23" s="264"/>
      <c r="F23" s="264"/>
      <c r="G23" s="264"/>
      <c r="H23" s="1102">
        <f>D18-J18</f>
        <v>382403.45999999996</v>
      </c>
      <c r="L23" s="51"/>
    </row>
    <row r="24" spans="5:12" ht="11.25">
      <c r="E24" s="196"/>
      <c r="F24" s="196"/>
      <c r="G24" s="196"/>
      <c r="H24" s="196"/>
      <c r="L24" s="51"/>
    </row>
    <row r="25" spans="4:12" ht="11.25">
      <c r="D25" s="416"/>
      <c r="E25" s="196"/>
      <c r="F25" s="196"/>
      <c r="G25" s="196"/>
      <c r="H25" s="196"/>
      <c r="I25" s="51"/>
      <c r="J25" s="51"/>
      <c r="K25" s="51"/>
      <c r="L25" s="51"/>
    </row>
    <row r="26" spans="4:12" ht="11.25">
      <c r="D26" s="416"/>
      <c r="E26" s="196"/>
      <c r="F26" s="196"/>
      <c r="G26" s="196"/>
      <c r="H26" s="196"/>
      <c r="I26" s="51"/>
      <c r="J26" s="51"/>
      <c r="K26" s="51"/>
      <c r="L26" s="51"/>
    </row>
    <row r="27" spans="4:11" ht="11.25">
      <c r="D27" s="416"/>
      <c r="E27" s="196"/>
      <c r="F27" s="196"/>
      <c r="G27" s="196"/>
      <c r="H27" s="196"/>
      <c r="I27" s="51"/>
      <c r="J27" s="51"/>
      <c r="K27" s="51"/>
    </row>
    <row r="28" spans="4:11" ht="11.25">
      <c r="D28" s="416"/>
      <c r="E28" s="196"/>
      <c r="F28" s="196"/>
      <c r="G28" s="196"/>
      <c r="H28" s="196"/>
      <c r="I28" s="51"/>
      <c r="J28" s="51"/>
      <c r="K28" s="51"/>
    </row>
    <row r="29" spans="4:11" ht="11.25">
      <c r="D29" s="416"/>
      <c r="E29" s="196"/>
      <c r="F29" s="196"/>
      <c r="G29" s="196"/>
      <c r="H29" s="196"/>
      <c r="I29" s="51"/>
      <c r="J29" s="51"/>
      <c r="K29" s="51"/>
    </row>
    <row r="30" spans="4:11" ht="11.25">
      <c r="D30" s="416"/>
      <c r="E30" s="196"/>
      <c r="F30" s="196"/>
      <c r="G30" s="196"/>
      <c r="H30" s="196"/>
      <c r="I30" s="51"/>
      <c r="J30" s="51"/>
      <c r="K30" s="51"/>
    </row>
    <row r="31" spans="4:11" ht="11.25">
      <c r="D31" s="416"/>
      <c r="E31" s="339"/>
      <c r="F31" s="339"/>
      <c r="G31" s="339"/>
      <c r="H31" s="339"/>
      <c r="I31" s="51"/>
      <c r="J31" s="51"/>
      <c r="K31" s="51"/>
    </row>
    <row r="32" spans="4:11" ht="11.25">
      <c r="D32" s="416"/>
      <c r="E32" s="6"/>
      <c r="F32" s="6"/>
      <c r="G32" s="6"/>
      <c r="H32" s="6"/>
      <c r="I32" s="51"/>
      <c r="J32" s="51"/>
      <c r="K32" s="51"/>
    </row>
    <row r="33" spans="4:11" ht="11.25">
      <c r="D33" s="416"/>
      <c r="E33" s="339"/>
      <c r="F33" s="339"/>
      <c r="G33" s="339"/>
      <c r="H33" s="339"/>
      <c r="I33" s="51"/>
      <c r="J33" s="51"/>
      <c r="K33" s="51"/>
    </row>
  </sheetData>
  <mergeCells count="8">
    <mergeCell ref="M2:N2"/>
    <mergeCell ref="M3:N3"/>
    <mergeCell ref="M4:N4"/>
    <mergeCell ref="K4:L4"/>
    <mergeCell ref="E2:G2"/>
    <mergeCell ref="K2:L2"/>
    <mergeCell ref="E3:G3"/>
    <mergeCell ref="K3:L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68"/>
  <sheetViews>
    <sheetView workbookViewId="0" topLeftCell="A1">
      <pane xSplit="2" ySplit="5" topLeftCell="C19" activePane="bottomRight" state="frozen"/>
      <selection pane="topLeft" activeCell="G30" sqref="G30"/>
      <selection pane="topRight" activeCell="G30" sqref="G30"/>
      <selection pane="bottomLeft" activeCell="G30" sqref="G30"/>
      <selection pane="bottomRight" activeCell="G30" sqref="G30"/>
    </sheetView>
  </sheetViews>
  <sheetFormatPr defaultColWidth="9.140625" defaultRowHeight="21.75"/>
  <cols>
    <col min="1" max="1" width="10.421875" style="50" customWidth="1"/>
    <col min="2" max="2" width="31.57421875" style="51" customWidth="1"/>
    <col min="3" max="3" width="7.421875" style="51" customWidth="1"/>
    <col min="4" max="4" width="12.8515625" style="542" bestFit="1" customWidth="1"/>
    <col min="5" max="5" width="8.28125" style="141" bestFit="1" customWidth="1"/>
    <col min="6" max="6" width="9.00390625" style="141" customWidth="1"/>
    <col min="7" max="7" width="11.140625" style="141" bestFit="1" customWidth="1"/>
    <col min="8" max="8" width="12.8515625" style="141" bestFit="1" customWidth="1"/>
    <col min="9" max="10" width="12.8515625" style="716" bestFit="1" customWidth="1"/>
    <col min="11" max="12" width="10.28125" style="54" customWidth="1"/>
    <col min="13" max="13" width="11.7109375" style="54" customWidth="1"/>
    <col min="14" max="14" width="9.8515625" style="54" bestFit="1" customWidth="1"/>
    <col min="15" max="16384" width="9.140625" style="51" customWidth="1"/>
  </cols>
  <sheetData>
    <row r="1" spans="1:3" ht="11.25">
      <c r="A1" s="59" t="s">
        <v>485</v>
      </c>
      <c r="B1" s="60"/>
      <c r="C1" s="60" t="s">
        <v>926</v>
      </c>
    </row>
    <row r="2" spans="1:14" ht="11.25">
      <c r="A2" s="63"/>
      <c r="B2" s="64"/>
      <c r="C2" s="63"/>
      <c r="D2" s="1055" t="str">
        <f>'Control BS'!D2</f>
        <v>Quarter 1'08</v>
      </c>
      <c r="E2" s="1686" t="s">
        <v>486</v>
      </c>
      <c r="F2" s="1699"/>
      <c r="G2" s="1700"/>
      <c r="H2" s="1055" t="str">
        <f>'Control BS'!H2</f>
        <v>Quarter 1'08</v>
      </c>
      <c r="I2" s="129" t="s">
        <v>818</v>
      </c>
      <c r="J2" s="129" t="s">
        <v>954</v>
      </c>
      <c r="K2" s="1690" t="s">
        <v>487</v>
      </c>
      <c r="L2" s="1691"/>
      <c r="M2" s="1690" t="s">
        <v>487</v>
      </c>
      <c r="N2" s="1691"/>
    </row>
    <row r="3" spans="1:14" ht="11.25">
      <c r="A3" s="67" t="s">
        <v>488</v>
      </c>
      <c r="B3" s="68"/>
      <c r="C3" s="67"/>
      <c r="D3" s="1056">
        <f>'3200'!D3</f>
        <v>39538</v>
      </c>
      <c r="E3" s="1688" t="s">
        <v>489</v>
      </c>
      <c r="F3" s="1701"/>
      <c r="G3" s="1702"/>
      <c r="H3" s="1056">
        <f>D3</f>
        <v>39538</v>
      </c>
      <c r="I3" s="130">
        <v>39172</v>
      </c>
      <c r="J3" s="130">
        <f>'3200'!J3</f>
        <v>39447</v>
      </c>
      <c r="K3" s="1692" t="s">
        <v>936</v>
      </c>
      <c r="L3" s="1693"/>
      <c r="M3" s="1692" t="s">
        <v>1117</v>
      </c>
      <c r="N3" s="1693"/>
    </row>
    <row r="4" spans="1:14" ht="11.25">
      <c r="A4" s="73" t="s">
        <v>491</v>
      </c>
      <c r="B4" s="74" t="s">
        <v>492</v>
      </c>
      <c r="C4" s="73" t="s">
        <v>493</v>
      </c>
      <c r="D4" s="1059" t="s">
        <v>869</v>
      </c>
      <c r="E4" s="717" t="s">
        <v>494</v>
      </c>
      <c r="F4" s="709" t="s">
        <v>495</v>
      </c>
      <c r="G4" s="718" t="s">
        <v>496</v>
      </c>
      <c r="H4" s="1059" t="s">
        <v>869</v>
      </c>
      <c r="I4" s="131" t="s">
        <v>869</v>
      </c>
      <c r="J4" s="131" t="s">
        <v>885</v>
      </c>
      <c r="K4" s="1694" t="str">
        <f>'3200'!K4:L4</f>
        <v>compare to YE'07</v>
      </c>
      <c r="L4" s="1695"/>
      <c r="M4" s="1694" t="str">
        <f>'3200'!M4:N4</f>
        <v>From Q1'07</v>
      </c>
      <c r="N4" s="1695"/>
    </row>
    <row r="5" spans="1:14" ht="11.25">
      <c r="A5" s="81"/>
      <c r="B5" s="82"/>
      <c r="C5" s="82"/>
      <c r="D5" s="1060" t="s">
        <v>497</v>
      </c>
      <c r="E5" s="719" t="s">
        <v>498</v>
      </c>
      <c r="F5" s="718" t="s">
        <v>497</v>
      </c>
      <c r="G5" s="718" t="s">
        <v>497</v>
      </c>
      <c r="H5" s="1060" t="s">
        <v>497</v>
      </c>
      <c r="I5" s="84" t="s">
        <v>497</v>
      </c>
      <c r="J5" s="84" t="s">
        <v>497</v>
      </c>
      <c r="K5" s="72" t="s">
        <v>499</v>
      </c>
      <c r="L5" s="72" t="s">
        <v>500</v>
      </c>
      <c r="M5" s="72" t="s">
        <v>499</v>
      </c>
      <c r="N5" s="72" t="s">
        <v>500</v>
      </c>
    </row>
    <row r="6" spans="1:14" ht="11.25">
      <c r="A6" s="9"/>
      <c r="B6" s="10" t="s">
        <v>896</v>
      </c>
      <c r="C6" s="107"/>
      <c r="D6" s="421"/>
      <c r="E6" s="319"/>
      <c r="F6" s="12"/>
      <c r="G6" s="12"/>
      <c r="H6" s="114"/>
      <c r="I6" s="720"/>
      <c r="J6" s="720"/>
      <c r="K6" s="14"/>
      <c r="L6" s="15"/>
      <c r="M6" s="14"/>
      <c r="N6" s="15"/>
    </row>
    <row r="7" spans="1:14" ht="11.25">
      <c r="A7" s="9"/>
      <c r="B7" s="17"/>
      <c r="C7" s="107"/>
      <c r="D7" s="419"/>
      <c r="E7" s="320"/>
      <c r="F7" s="12"/>
      <c r="G7" s="12"/>
      <c r="H7" s="114"/>
      <c r="I7" s="720"/>
      <c r="J7" s="720"/>
      <c r="K7" s="14"/>
      <c r="L7" s="15"/>
      <c r="M7" s="14"/>
      <c r="N7" s="15"/>
    </row>
    <row r="8" spans="1:14" ht="12" thickBot="1">
      <c r="A8" s="902">
        <v>144110</v>
      </c>
      <c r="B8" s="18" t="s">
        <v>545</v>
      </c>
      <c r="C8" s="721"/>
      <c r="D8" s="1192">
        <f>VLOOKUP(A8,TB!$A:$E,5,FALSE)</f>
        <v>8086072.55</v>
      </c>
      <c r="E8" s="324"/>
      <c r="F8" s="325"/>
      <c r="G8" s="326"/>
      <c r="H8" s="132">
        <f>D8+F8-G8</f>
        <v>8086072.55</v>
      </c>
      <c r="I8" s="722">
        <v>11071948.8</v>
      </c>
      <c r="J8" s="722">
        <v>5899373.3100000005</v>
      </c>
      <c r="K8" s="750">
        <f>(H8-J8)/1000</f>
        <v>2186.6992399999995</v>
      </c>
      <c r="L8" s="751">
        <f>K8/J8*1000</f>
        <v>0.37066636150882937</v>
      </c>
      <c r="M8" s="1186">
        <f>(H8-I8)/1000</f>
        <v>-2985.8762500000007</v>
      </c>
      <c r="N8" s="1009">
        <f>M8/I8*1000</f>
        <v>-0.26967937658815766</v>
      </c>
    </row>
    <row r="9" spans="1:14" ht="12" thickTop="1">
      <c r="A9" s="9"/>
      <c r="B9" s="20"/>
      <c r="C9" s="107"/>
      <c r="D9" s="419"/>
      <c r="E9" s="320"/>
      <c r="F9" s="12"/>
      <c r="G9" s="12"/>
      <c r="H9" s="115"/>
      <c r="I9" s="720">
        <f>I8-'Control BS'!I13</f>
        <v>0</v>
      </c>
      <c r="J9" s="720">
        <f>ROUND(J8,0)-'Control BS'!J13</f>
        <v>0</v>
      </c>
      <c r="K9" s="14"/>
      <c r="L9" s="434"/>
      <c r="M9" s="1187"/>
      <c r="N9" s="15"/>
    </row>
    <row r="10" spans="1:14" ht="11.25">
      <c r="A10" s="22"/>
      <c r="B10" s="23"/>
      <c r="C10" s="107"/>
      <c r="D10" s="419"/>
      <c r="E10" s="320"/>
      <c r="F10" s="12"/>
      <c r="G10" s="12"/>
      <c r="H10" s="115"/>
      <c r="I10" s="720"/>
      <c r="J10" s="1303" t="s">
        <v>1140</v>
      </c>
      <c r="K10" s="25"/>
      <c r="L10" s="434"/>
      <c r="M10" s="1187"/>
      <c r="N10" s="26"/>
    </row>
    <row r="11" spans="1:14" ht="11.25">
      <c r="A11" s="28"/>
      <c r="B11" s="29" t="s">
        <v>533</v>
      </c>
      <c r="C11" s="107"/>
      <c r="D11" s="628"/>
      <c r="E11" s="320"/>
      <c r="F11" s="24"/>
      <c r="G11" s="12"/>
      <c r="H11" s="115"/>
      <c r="I11" s="723"/>
      <c r="J11" s="723"/>
      <c r="K11" s="25"/>
      <c r="L11" s="434"/>
      <c r="M11" s="1187"/>
      <c r="N11" s="26"/>
    </row>
    <row r="12" spans="1:14" ht="11.25">
      <c r="A12" s="31"/>
      <c r="B12" s="32"/>
      <c r="C12" s="107"/>
      <c r="D12" s="628"/>
      <c r="E12" s="320"/>
      <c r="F12" s="30"/>
      <c r="G12" s="30"/>
      <c r="H12" s="115"/>
      <c r="I12" s="724"/>
      <c r="J12" s="724"/>
      <c r="K12" s="25"/>
      <c r="L12" s="434"/>
      <c r="M12" s="1187"/>
      <c r="N12" s="26"/>
    </row>
    <row r="13" spans="1:14" ht="11.25">
      <c r="A13" s="903">
        <v>142110</v>
      </c>
      <c r="B13" s="33" t="s">
        <v>534</v>
      </c>
      <c r="C13" s="725"/>
      <c r="D13" s="1074">
        <f>VLOOKUP(A13,TB!$A:$E,5,FALSE)</f>
        <v>106116.58</v>
      </c>
      <c r="E13" s="294"/>
      <c r="F13" s="30"/>
      <c r="G13" s="30"/>
      <c r="H13" s="115">
        <f aca="true" t="shared" si="0" ref="H13:H29">D13+F13-G13</f>
        <v>106116.58</v>
      </c>
      <c r="I13" s="724">
        <v>173680.28</v>
      </c>
      <c r="J13" s="1011">
        <v>52771.46</v>
      </c>
      <c r="K13" s="347">
        <f>(H13-J13)/1000</f>
        <v>53.34512</v>
      </c>
      <c r="L13" s="786">
        <f>K13/J13*1000</f>
        <v>1.0108706486422776</v>
      </c>
      <c r="M13" s="345">
        <f>(H13-I13)/1000</f>
        <v>-67.5637</v>
      </c>
      <c r="N13" s="1013">
        <f>M13/I13*1000</f>
        <v>-0.3890119246698589</v>
      </c>
    </row>
    <row r="14" spans="1:14" ht="22.5">
      <c r="A14" s="1504" t="s">
        <v>1209</v>
      </c>
      <c r="B14" s="33" t="s">
        <v>1210</v>
      </c>
      <c r="C14" s="725"/>
      <c r="D14" s="1074">
        <f>66812.77+23835</f>
        <v>90647.77</v>
      </c>
      <c r="E14" s="294"/>
      <c r="F14" s="30"/>
      <c r="G14" s="30"/>
      <c r="H14" s="115">
        <f t="shared" si="0"/>
        <v>90647.77</v>
      </c>
      <c r="I14" s="724">
        <v>74285.67</v>
      </c>
      <c r="J14" s="1011">
        <v>106979.91</v>
      </c>
      <c r="K14" s="347">
        <f>(H14-J14)/1000</f>
        <v>-16.33214</v>
      </c>
      <c r="L14" s="786">
        <f>K14/J14*1000</f>
        <v>-0.15266548644507177</v>
      </c>
      <c r="M14" s="345">
        <f>(H14-I14)/1000</f>
        <v>16.362100000000005</v>
      </c>
      <c r="N14" s="1013"/>
    </row>
    <row r="15" spans="1:14" ht="11.25">
      <c r="A15" s="903">
        <v>142111</v>
      </c>
      <c r="B15" s="33" t="s">
        <v>535</v>
      </c>
      <c r="C15" s="725"/>
      <c r="D15" s="1074">
        <f>VLOOKUP(A15,TB!$A:$E,5,FALSE)</f>
        <v>1140948.01</v>
      </c>
      <c r="E15" s="294"/>
      <c r="F15" s="321"/>
      <c r="G15" s="30"/>
      <c r="H15" s="115">
        <f t="shared" si="0"/>
        <v>1140948.01</v>
      </c>
      <c r="I15" s="724">
        <v>1529511.93</v>
      </c>
      <c r="J15" s="1011">
        <v>753813.01</v>
      </c>
      <c r="K15" s="347">
        <f>(H15-J15)/1000</f>
        <v>387.135</v>
      </c>
      <c r="L15" s="786">
        <f>K15/J15*1000</f>
        <v>0.5135690083141441</v>
      </c>
      <c r="M15" s="345">
        <f>(H15-I15)/1000</f>
        <v>-388.56391999999994</v>
      </c>
      <c r="N15" s="1013">
        <f>M15/I15*1000</f>
        <v>-0.2540443865645428</v>
      </c>
    </row>
    <row r="16" spans="1:14" ht="11.25">
      <c r="A16" s="903">
        <v>242303</v>
      </c>
      <c r="B16" s="33" t="s">
        <v>616</v>
      </c>
      <c r="C16" s="726"/>
      <c r="D16" s="1074">
        <f>VLOOKUP(A16,TB!$A:$E,5,FALSE)</f>
        <v>0</v>
      </c>
      <c r="E16" s="294"/>
      <c r="F16" s="260"/>
      <c r="G16" s="12"/>
      <c r="H16" s="115">
        <f t="shared" si="0"/>
        <v>0</v>
      </c>
      <c r="I16" s="727">
        <v>0</v>
      </c>
      <c r="J16" s="1012">
        <v>0</v>
      </c>
      <c r="K16" s="1014">
        <f>(H16-J16)/1000</f>
        <v>0</v>
      </c>
      <c r="L16" s="1015"/>
      <c r="M16" s="1188">
        <f>(H16-I16)/1000</f>
        <v>0</v>
      </c>
      <c r="N16" s="1016"/>
    </row>
    <row r="17" spans="1:14" s="3" customFormat="1" ht="11.25">
      <c r="A17" s="35"/>
      <c r="B17" s="39" t="s">
        <v>894</v>
      </c>
      <c r="C17" s="37"/>
      <c r="D17" s="1300">
        <f>SUM(D15:D16)</f>
        <v>1140948.01</v>
      </c>
      <c r="E17" s="1301">
        <f>SUM(E15:E16)</f>
        <v>0</v>
      </c>
      <c r="F17" s="1301">
        <f>SUM(F13:F16)</f>
        <v>0</v>
      </c>
      <c r="G17" s="1301">
        <f>SUM(G13:G16)</f>
        <v>0</v>
      </c>
      <c r="H17" s="1301">
        <f t="shared" si="0"/>
        <v>1140948.01</v>
      </c>
      <c r="I17" s="1302">
        <v>1603797.6</v>
      </c>
      <c r="J17" s="1302">
        <f>SUM(J15:J16)</f>
        <v>753813.01</v>
      </c>
      <c r="K17" s="295">
        <f>(H17-J17)/1000</f>
        <v>387.135</v>
      </c>
      <c r="L17" s="522">
        <f>K17/J17*1000</f>
        <v>0.5135690083141441</v>
      </c>
      <c r="M17" s="102">
        <f>(H17-I17)/1000</f>
        <v>-462.8495900000001</v>
      </c>
      <c r="N17" s="1024">
        <f>M17/I17*1000</f>
        <v>-0.28859601111761235</v>
      </c>
    </row>
    <row r="18" spans="1:14" ht="11.25">
      <c r="A18" s="31"/>
      <c r="B18" s="32"/>
      <c r="C18" s="725"/>
      <c r="D18" s="628"/>
      <c r="E18" s="294"/>
      <c r="F18" s="321"/>
      <c r="G18" s="321"/>
      <c r="H18" s="115"/>
      <c r="I18" s="728"/>
      <c r="J18" s="728"/>
      <c r="K18" s="25">
        <f>IF(H18&lt;&gt;0,(+H18-J18)/1000,IF(J18&lt;&gt;0,(H18-J18)/1000,""))</f>
      </c>
      <c r="L18" s="435">
        <f>IF(H18&lt;&gt;0,IF(J18=0,1,+K18/J18*1000),IF(J18&lt;&gt;0,+K18/J18*1000,""))</f>
      </c>
      <c r="M18" s="1187"/>
      <c r="N18" s="21"/>
    </row>
    <row r="19" spans="1:14" ht="11.25">
      <c r="A19" s="903">
        <v>143120</v>
      </c>
      <c r="B19" s="33" t="s">
        <v>536</v>
      </c>
      <c r="C19" s="725"/>
      <c r="D19" s="1074">
        <f>VLOOKUP(A19,TB!$A:$E,5,FALSE)</f>
        <v>186676.84</v>
      </c>
      <c r="E19" s="294"/>
      <c r="F19" s="321"/>
      <c r="G19" s="321"/>
      <c r="H19" s="115">
        <f t="shared" si="0"/>
        <v>186676.84</v>
      </c>
      <c r="I19" s="724">
        <v>221964.09</v>
      </c>
      <c r="J19" s="724">
        <v>0</v>
      </c>
      <c r="K19" s="1014">
        <f>(H19-J19)/1000</f>
        <v>186.67684</v>
      </c>
      <c r="L19" s="1015"/>
      <c r="M19" s="1188">
        <f>(H19-I19)/1000</f>
        <v>-35.28725</v>
      </c>
      <c r="N19" s="1016">
        <f>M19/I19*1000</f>
        <v>-0.15897729222776533</v>
      </c>
    </row>
    <row r="20" spans="1:14" ht="11.25">
      <c r="A20" s="31"/>
      <c r="B20" s="33"/>
      <c r="C20" s="725"/>
      <c r="D20" s="1074"/>
      <c r="E20" s="294"/>
      <c r="F20" s="321"/>
      <c r="G20" s="321"/>
      <c r="H20" s="115">
        <f t="shared" si="0"/>
        <v>0</v>
      </c>
      <c r="I20" s="724">
        <v>0</v>
      </c>
      <c r="J20" s="724"/>
      <c r="K20" s="25">
        <f>IF(H20&lt;&gt;0,(+H20-J20)/1000,IF(J20&lt;&gt;0,(H20-J20)/1000,""))</f>
      </c>
      <c r="L20" s="435">
        <f>IF(H20&lt;&gt;0,IF(J20=0,1,+K20/J20*1000),IF(J20&lt;&gt;0,+K20/J20*1000,""))</f>
      </c>
      <c r="M20" s="1187"/>
      <c r="N20" s="21"/>
    </row>
    <row r="21" spans="1:14" ht="11.25">
      <c r="A21" s="31"/>
      <c r="B21" s="729" t="s">
        <v>895</v>
      </c>
      <c r="C21" s="725"/>
      <c r="D21" s="1074"/>
      <c r="E21" s="294"/>
      <c r="F21" s="321"/>
      <c r="G21" s="321"/>
      <c r="H21" s="115">
        <f t="shared" si="0"/>
        <v>0</v>
      </c>
      <c r="I21" s="724">
        <v>0</v>
      </c>
      <c r="J21" s="724"/>
      <c r="K21" s="25">
        <f>IF(H21&lt;&gt;0,(+H21-J21)/1000,IF(J21&lt;&gt;0,(H21-J21)/1000,""))</f>
      </c>
      <c r="L21" s="435">
        <f>IF(H21&lt;&gt;0,IF(J21=0,1,+K21/J21*1000),IF(J21&lt;&gt;0,+K21/J21*1000,""))</f>
      </c>
      <c r="M21" s="1187"/>
      <c r="N21" s="21"/>
    </row>
    <row r="22" spans="1:14" ht="11.25">
      <c r="A22" s="903">
        <v>143130</v>
      </c>
      <c r="B22" s="33" t="s">
        <v>537</v>
      </c>
      <c r="C22" s="725"/>
      <c r="D22" s="1074">
        <f>VLOOKUP(A22,TB!$A:$E,5,FALSE)</f>
        <v>1693573.81</v>
      </c>
      <c r="E22" s="294"/>
      <c r="F22" s="321"/>
      <c r="G22" s="321"/>
      <c r="H22" s="115">
        <f t="shared" si="0"/>
        <v>1693573.81</v>
      </c>
      <c r="I22" s="724">
        <v>340722.49</v>
      </c>
      <c r="J22" s="724">
        <v>1076405.46</v>
      </c>
      <c r="K22" s="347">
        <f aca="true" t="shared" si="1" ref="K22:K29">(H22-J22)/1000</f>
        <v>617.1683500000001</v>
      </c>
      <c r="L22" s="786">
        <f>K22/J22*1000</f>
        <v>0.5733604788663931</v>
      </c>
      <c r="M22" s="345">
        <f>(H22-I22)/1000</f>
        <v>1352.85132</v>
      </c>
      <c r="N22" s="1013">
        <f>M22/I22*1000</f>
        <v>3.9705371958276072</v>
      </c>
    </row>
    <row r="23" spans="1:14" ht="11.25">
      <c r="A23" s="903">
        <v>143131</v>
      </c>
      <c r="B23" s="33" t="s">
        <v>539</v>
      </c>
      <c r="C23" s="725"/>
      <c r="D23" s="1074">
        <f>VLOOKUP(A23,TB!$A:$E,5,FALSE)</f>
        <v>0</v>
      </c>
      <c r="E23" s="294"/>
      <c r="F23" s="321"/>
      <c r="G23" s="321"/>
      <c r="H23" s="115">
        <f t="shared" si="0"/>
        <v>0</v>
      </c>
      <c r="I23" s="724">
        <v>0</v>
      </c>
      <c r="J23" s="724">
        <v>0</v>
      </c>
      <c r="K23" s="347">
        <f t="shared" si="1"/>
        <v>0</v>
      </c>
      <c r="L23" s="786"/>
      <c r="M23" s="345">
        <f aca="true" t="shared" si="2" ref="M23:M29">(H23-I23)/1000</f>
        <v>0</v>
      </c>
      <c r="N23" s="1013"/>
    </row>
    <row r="24" spans="1:14" ht="11.25">
      <c r="A24" s="903">
        <v>143160</v>
      </c>
      <c r="B24" s="33" t="s">
        <v>540</v>
      </c>
      <c r="C24" s="725"/>
      <c r="D24" s="1074">
        <f>VLOOKUP(A24,TB!$A:$E,5,FALSE)</f>
        <v>71577.49</v>
      </c>
      <c r="E24" s="294"/>
      <c r="F24" s="321"/>
      <c r="G24" s="321"/>
      <c r="H24" s="115">
        <f t="shared" si="0"/>
        <v>71577.49</v>
      </c>
      <c r="I24" s="724">
        <v>71738.27</v>
      </c>
      <c r="J24" s="724">
        <v>64644.8</v>
      </c>
      <c r="K24" s="347">
        <f t="shared" si="1"/>
        <v>6.932690000000003</v>
      </c>
      <c r="L24" s="786">
        <f aca="true" t="shared" si="3" ref="L24:L29">K24/J24*1000</f>
        <v>0.107242809939856</v>
      </c>
      <c r="M24" s="345">
        <f t="shared" si="2"/>
        <v>-0.16077999999999884</v>
      </c>
      <c r="N24" s="1013">
        <f>M24/I24*1000</f>
        <v>-0.002241202638424356</v>
      </c>
    </row>
    <row r="25" spans="1:14" ht="11.25">
      <c r="A25" s="903">
        <v>143180</v>
      </c>
      <c r="B25" s="33" t="s">
        <v>541</v>
      </c>
      <c r="C25" s="725"/>
      <c r="D25" s="1074">
        <f>VLOOKUP(A25,TB!$A:$E,5,FALSE)</f>
        <v>1102090.67</v>
      </c>
      <c r="E25" s="294"/>
      <c r="F25" s="321"/>
      <c r="G25" s="321"/>
      <c r="H25" s="115">
        <f t="shared" si="0"/>
        <v>1102090.67</v>
      </c>
      <c r="I25" s="724">
        <v>871702.11</v>
      </c>
      <c r="J25" s="724">
        <v>733591.63</v>
      </c>
      <c r="K25" s="347">
        <f t="shared" si="1"/>
        <v>368.4990399999999</v>
      </c>
      <c r="L25" s="786">
        <f t="shared" si="3"/>
        <v>0.5023217617681924</v>
      </c>
      <c r="M25" s="345">
        <f t="shared" si="2"/>
        <v>230.38855999999993</v>
      </c>
      <c r="N25" s="1013">
        <f>M25/I25*1000</f>
        <v>0.26429735268164023</v>
      </c>
    </row>
    <row r="26" spans="1:14" ht="11.25">
      <c r="A26" s="903">
        <v>143190</v>
      </c>
      <c r="B26" s="33" t="s">
        <v>542</v>
      </c>
      <c r="C26" s="725"/>
      <c r="D26" s="1074">
        <f>VLOOKUP(A26,TB!$A:$E,5,FALSE)</f>
        <v>0</v>
      </c>
      <c r="E26" s="294"/>
      <c r="F26" s="321"/>
      <c r="G26" s="321"/>
      <c r="H26" s="115">
        <f t="shared" si="0"/>
        <v>0</v>
      </c>
      <c r="I26" s="724">
        <v>0</v>
      </c>
      <c r="J26" s="724">
        <v>0</v>
      </c>
      <c r="K26" s="347">
        <f t="shared" si="1"/>
        <v>0</v>
      </c>
      <c r="L26" s="786"/>
      <c r="M26" s="345">
        <f t="shared" si="2"/>
        <v>0</v>
      </c>
      <c r="N26" s="1013" t="e">
        <f>M26/I26*1000</f>
        <v>#DIV/0!</v>
      </c>
    </row>
    <row r="27" spans="1:14" ht="11.25">
      <c r="A27" s="903">
        <v>143201</v>
      </c>
      <c r="B27" s="33" t="s">
        <v>883</v>
      </c>
      <c r="C27" s="725"/>
      <c r="D27" s="1074">
        <f>VLOOKUP(A27,TB!$A:$E,5,FALSE)</f>
        <v>174316.94</v>
      </c>
      <c r="E27" s="294"/>
      <c r="F27" s="321"/>
      <c r="G27" s="321"/>
      <c r="H27" s="115">
        <f t="shared" si="0"/>
        <v>174316.94</v>
      </c>
      <c r="I27" s="724">
        <v>0</v>
      </c>
      <c r="J27" s="724">
        <v>0</v>
      </c>
      <c r="K27" s="347">
        <f t="shared" si="1"/>
        <v>174.31694</v>
      </c>
      <c r="L27" s="786"/>
      <c r="M27" s="345">
        <f t="shared" si="2"/>
        <v>174.31694</v>
      </c>
      <c r="N27" s="1013"/>
    </row>
    <row r="28" spans="1:14" ht="11.25">
      <c r="A28" s="903">
        <v>143200</v>
      </c>
      <c r="B28" s="33" t="s">
        <v>543</v>
      </c>
      <c r="C28" s="725"/>
      <c r="D28" s="1074">
        <f>VLOOKUP(A28,TB!$A:$E,5,FALSE)</f>
        <v>18456.17</v>
      </c>
      <c r="E28" s="294"/>
      <c r="F28" s="321"/>
      <c r="G28" s="321"/>
      <c r="H28" s="115">
        <f t="shared" si="0"/>
        <v>18456.17</v>
      </c>
      <c r="I28" s="730">
        <v>18101.38</v>
      </c>
      <c r="J28" s="730">
        <v>8024.57</v>
      </c>
      <c r="K28" s="347">
        <f t="shared" si="1"/>
        <v>10.431599999999998</v>
      </c>
      <c r="L28" s="786">
        <f t="shared" si="3"/>
        <v>1.2999575055111985</v>
      </c>
      <c r="M28" s="345">
        <f t="shared" si="2"/>
        <v>0.3547899999999972</v>
      </c>
      <c r="N28" s="1013">
        <f>M28/I28*1000</f>
        <v>0.01960016308148866</v>
      </c>
    </row>
    <row r="29" spans="1:14" ht="11.25">
      <c r="A29" s="31"/>
      <c r="B29" s="38" t="s">
        <v>897</v>
      </c>
      <c r="C29" s="731"/>
      <c r="D29" s="629">
        <f>SUM(D19:D28)</f>
        <v>3246691.92</v>
      </c>
      <c r="E29" s="40"/>
      <c r="F29" s="629">
        <f>SUM(F19:F28)</f>
        <v>0</v>
      </c>
      <c r="G29" s="629">
        <f>SUM(G19:G28)</f>
        <v>0</v>
      </c>
      <c r="H29" s="40">
        <f t="shared" si="0"/>
        <v>3246691.92</v>
      </c>
      <c r="I29" s="732">
        <v>1524228.34</v>
      </c>
      <c r="J29" s="732">
        <f>SUM(J19:J28)</f>
        <v>1882666.4600000002</v>
      </c>
      <c r="K29" s="603">
        <f t="shared" si="1"/>
        <v>1364.0254599999998</v>
      </c>
      <c r="L29" s="1010">
        <f t="shared" si="3"/>
        <v>0.7245178521956565</v>
      </c>
      <c r="M29" s="290">
        <f t="shared" si="2"/>
        <v>1722.4635799999999</v>
      </c>
      <c r="N29" s="1017">
        <f>M29/I29*1000</f>
        <v>1.1300561305663688</v>
      </c>
    </row>
    <row r="30" spans="1:14" ht="11.25">
      <c r="A30" s="31"/>
      <c r="B30" s="33"/>
      <c r="C30" s="725"/>
      <c r="D30" s="630"/>
      <c r="E30" s="294"/>
      <c r="F30" s="257"/>
      <c r="G30" s="321"/>
      <c r="H30" s="115"/>
      <c r="I30" s="728"/>
      <c r="J30" s="728"/>
      <c r="K30" s="25"/>
      <c r="L30" s="435"/>
      <c r="M30" s="1187"/>
      <c r="N30" s="21"/>
    </row>
    <row r="31" spans="1:14" ht="11.25">
      <c r="A31" s="31"/>
      <c r="B31" s="32" t="s">
        <v>544</v>
      </c>
      <c r="C31" s="725"/>
      <c r="D31" s="628"/>
      <c r="E31" s="294"/>
      <c r="F31" s="321"/>
      <c r="G31" s="321"/>
      <c r="H31" s="115"/>
      <c r="I31" s="724"/>
      <c r="J31" s="724"/>
      <c r="K31" s="25">
        <f>IF(H31&lt;&gt;0,(+H31-J31)/1000,IF(J31&lt;&gt;0,(H31-J31)/1000,""))</f>
      </c>
      <c r="L31" s="435">
        <f>IF(H31&lt;&gt;0,IF(J31=0,1,+K31/J31*1000),IF(J31&lt;&gt;0,+K31/J31*1000,""))</f>
      </c>
      <c r="M31" s="1187"/>
      <c r="N31" s="21"/>
    </row>
    <row r="32" spans="1:14" ht="11.25">
      <c r="A32" s="903">
        <v>144120</v>
      </c>
      <c r="B32" s="33" t="s">
        <v>546</v>
      </c>
      <c r="C32" s="725"/>
      <c r="D32" s="1074">
        <f>VLOOKUP(A32,TB!$A:$E,5,FALSE)</f>
        <v>787578.24</v>
      </c>
      <c r="E32" s="294"/>
      <c r="F32" s="321"/>
      <c r="G32" s="321"/>
      <c r="H32" s="115">
        <f aca="true" t="shared" si="4" ref="H32:H42">D32+F32-G32</f>
        <v>787578.24</v>
      </c>
      <c r="I32" s="724">
        <v>703836.81</v>
      </c>
      <c r="J32" s="724">
        <v>752972.89</v>
      </c>
      <c r="K32" s="347">
        <f>(H32-J32)/1000</f>
        <v>34.60534999999998</v>
      </c>
      <c r="L32" s="786">
        <f>K32/J32*1000</f>
        <v>0.04595829472691903</v>
      </c>
      <c r="M32" s="345">
        <f>(H32-I32)/1000</f>
        <v>83.74142999999994</v>
      </c>
      <c r="N32" s="1013">
        <f>M32/I32*1000</f>
        <v>0.1189784745699787</v>
      </c>
    </row>
    <row r="33" spans="1:14" ht="11.25">
      <c r="A33" s="903">
        <v>245110</v>
      </c>
      <c r="B33" s="33" t="s">
        <v>547</v>
      </c>
      <c r="C33" s="725"/>
      <c r="D33" s="1074">
        <f>VLOOKUP(A33,TB!$A:$E,5,FALSE)</f>
        <v>0</v>
      </c>
      <c r="E33" s="294"/>
      <c r="F33" s="114"/>
      <c r="G33" s="114"/>
      <c r="H33" s="115">
        <f t="shared" si="4"/>
        <v>0</v>
      </c>
      <c r="I33" s="724">
        <v>0</v>
      </c>
      <c r="J33" s="724">
        <v>0</v>
      </c>
      <c r="K33" s="347">
        <f>(H33-J33)/1000</f>
        <v>0</v>
      </c>
      <c r="L33" s="786"/>
      <c r="M33" s="345">
        <f>(H33-I33)/1000</f>
        <v>0</v>
      </c>
      <c r="N33" s="1013"/>
    </row>
    <row r="34" spans="1:14" ht="11.25">
      <c r="A34" s="903">
        <v>145000</v>
      </c>
      <c r="B34" s="33" t="s">
        <v>548</v>
      </c>
      <c r="C34" s="725"/>
      <c r="D34" s="1074">
        <f>VLOOKUP(A34,TB!$A:$E,5,FALSE)</f>
        <v>0</v>
      </c>
      <c r="E34" s="322"/>
      <c r="F34" s="321"/>
      <c r="G34" s="321"/>
      <c r="H34" s="115">
        <f t="shared" si="4"/>
        <v>0</v>
      </c>
      <c r="I34" s="724">
        <v>0</v>
      </c>
      <c r="J34" s="724">
        <v>0</v>
      </c>
      <c r="K34" s="347">
        <f>(H34-J34)/1000</f>
        <v>0</v>
      </c>
      <c r="L34" s="786"/>
      <c r="M34" s="345">
        <f>(H34-I34)/1000</f>
        <v>0</v>
      </c>
      <c r="N34" s="1013"/>
    </row>
    <row r="35" spans="1:14" ht="11.25">
      <c r="A35" s="31"/>
      <c r="B35" s="38" t="s">
        <v>898</v>
      </c>
      <c r="C35" s="731"/>
      <c r="D35" s="631">
        <f>SUM(D32:D34)</f>
        <v>787578.24</v>
      </c>
      <c r="E35" s="40"/>
      <c r="F35" s="733"/>
      <c r="G35" s="323">
        <f>SUM(G32:G34)</f>
        <v>0</v>
      </c>
      <c r="H35" s="40">
        <f t="shared" si="4"/>
        <v>787578.24</v>
      </c>
      <c r="I35" s="732">
        <v>703836.81</v>
      </c>
      <c r="J35" s="732">
        <f>SUM(J32:J34)</f>
        <v>752972.89</v>
      </c>
      <c r="K35" s="603">
        <f>(H35-J35)/1000</f>
        <v>34.60534999999998</v>
      </c>
      <c r="L35" s="1010">
        <f>K35/J35*1000</f>
        <v>0.04595829472691903</v>
      </c>
      <c r="M35" s="290">
        <f>(H35-I35)/1000</f>
        <v>83.74142999999994</v>
      </c>
      <c r="N35" s="1017">
        <f>M35/I35*1000</f>
        <v>0.1189784745699787</v>
      </c>
    </row>
    <row r="36" spans="1:14" ht="11.25">
      <c r="A36" s="31"/>
      <c r="B36" s="33"/>
      <c r="C36" s="725"/>
      <c r="D36" s="630"/>
      <c r="E36" s="322"/>
      <c r="F36" s="257"/>
      <c r="G36" s="321"/>
      <c r="H36" s="115">
        <f t="shared" si="4"/>
        <v>0</v>
      </c>
      <c r="I36" s="724"/>
      <c r="J36" s="724"/>
      <c r="K36" s="25">
        <f>IF(H36&lt;&gt;0,(+H36-J36)/1000,IF(J36&lt;&gt;0,(H36-J36)/1000,""))</f>
      </c>
      <c r="L36" s="434">
        <f>IF(H36&lt;&gt;0,IF(J36=0,1,+K36/J36*1000),IF(J36&lt;&gt;0,+K36/J36*1000,""))</f>
      </c>
      <c r="M36" s="1187"/>
      <c r="N36" s="21"/>
    </row>
    <row r="37" spans="1:14" ht="11.25">
      <c r="A37" s="903">
        <v>144530</v>
      </c>
      <c r="B37" s="33" t="s">
        <v>550</v>
      </c>
      <c r="C37" s="725"/>
      <c r="D37" s="1074">
        <f>VLOOKUP(A37,TB!$A:$E,5,FALSE)</f>
        <v>0</v>
      </c>
      <c r="E37" s="294"/>
      <c r="F37" s="114"/>
      <c r="G37" s="114"/>
      <c r="H37" s="115">
        <f t="shared" si="4"/>
        <v>0</v>
      </c>
      <c r="I37" s="724">
        <v>0</v>
      </c>
      <c r="J37" s="724">
        <v>48249</v>
      </c>
      <c r="K37" s="347">
        <f aca="true" t="shared" si="5" ref="K37:K42">(H37-J37)/1000</f>
        <v>-48.249</v>
      </c>
      <c r="L37" s="786">
        <f>K37/J37*1000</f>
        <v>-1</v>
      </c>
      <c r="M37" s="345">
        <f aca="true" t="shared" si="6" ref="M37:M42">(H37-I37)/1000</f>
        <v>0</v>
      </c>
      <c r="N37" s="1013" t="e">
        <f>M37/I37*1000</f>
        <v>#DIV/0!</v>
      </c>
    </row>
    <row r="38" spans="1:14" ht="11.25">
      <c r="A38" s="904">
        <v>136100</v>
      </c>
      <c r="B38" s="41" t="s">
        <v>551</v>
      </c>
      <c r="C38" s="726"/>
      <c r="D38" s="1074">
        <f>VLOOKUP(A38,TB!$A:$E,5,FALSE)</f>
        <v>0</v>
      </c>
      <c r="E38" s="294"/>
      <c r="F38" s="114"/>
      <c r="G38" s="114"/>
      <c r="H38" s="115">
        <f t="shared" si="4"/>
        <v>0</v>
      </c>
      <c r="I38" s="724">
        <v>0</v>
      </c>
      <c r="J38" s="724">
        <v>0</v>
      </c>
      <c r="K38" s="347">
        <f t="shared" si="5"/>
        <v>0</v>
      </c>
      <c r="L38" s="786"/>
      <c r="M38" s="345">
        <f t="shared" si="6"/>
        <v>0</v>
      </c>
      <c r="N38" s="1013"/>
    </row>
    <row r="39" spans="1:14" s="120" customFormat="1" ht="11.25">
      <c r="A39" s="903">
        <v>172120</v>
      </c>
      <c r="B39" s="33" t="s">
        <v>960</v>
      </c>
      <c r="C39" s="726"/>
      <c r="D39" s="1074">
        <f>VLOOKUP(A39,TB!$A:$E,5,FALSE)</f>
        <v>0</v>
      </c>
      <c r="E39" s="294"/>
      <c r="F39" s="114"/>
      <c r="G39" s="114"/>
      <c r="H39" s="115">
        <f t="shared" si="4"/>
        <v>0</v>
      </c>
      <c r="I39" s="727">
        <v>0</v>
      </c>
      <c r="J39" s="724">
        <v>0</v>
      </c>
      <c r="K39" s="347">
        <f t="shared" si="5"/>
        <v>0</v>
      </c>
      <c r="L39" s="786" t="e">
        <f>K39/J39*1000</f>
        <v>#DIV/0!</v>
      </c>
      <c r="M39" s="345">
        <f t="shared" si="6"/>
        <v>0</v>
      </c>
      <c r="N39" s="1013" t="e">
        <f>M39/I39*1000</f>
        <v>#DIV/0!</v>
      </c>
    </row>
    <row r="40" spans="1:14" ht="11.25">
      <c r="A40" s="903">
        <v>172130</v>
      </c>
      <c r="B40" s="33" t="s">
        <v>555</v>
      </c>
      <c r="C40" s="726"/>
      <c r="D40" s="1074">
        <f>VLOOKUP(A40,TB!$A:$E,5,FALSE)</f>
        <v>18143.050000000003</v>
      </c>
      <c r="E40" s="294"/>
      <c r="F40" s="12"/>
      <c r="G40" s="12"/>
      <c r="H40" s="115">
        <f t="shared" si="4"/>
        <v>18143.050000000003</v>
      </c>
      <c r="I40" s="727">
        <v>20719.93</v>
      </c>
      <c r="J40" s="724">
        <v>81893.48</v>
      </c>
      <c r="K40" s="347">
        <f t="shared" si="5"/>
        <v>-63.750429999999994</v>
      </c>
      <c r="L40" s="786">
        <f>K40/J40*1000</f>
        <v>-0.7784555009751691</v>
      </c>
      <c r="M40" s="345">
        <f t="shared" si="6"/>
        <v>-2.5768799999999974</v>
      </c>
      <c r="N40" s="1013">
        <f>M40/I40*1000</f>
        <v>-0.12436721552630715</v>
      </c>
    </row>
    <row r="41" spans="1:14" ht="11.25">
      <c r="A41" s="31"/>
      <c r="B41" s="33"/>
      <c r="C41" s="725"/>
      <c r="D41" s="645"/>
      <c r="E41" s="294"/>
      <c r="F41" s="114"/>
      <c r="G41" s="114"/>
      <c r="H41" s="115">
        <f t="shared" si="4"/>
        <v>0</v>
      </c>
      <c r="I41" s="727">
        <v>0</v>
      </c>
      <c r="J41" s="724">
        <v>0</v>
      </c>
      <c r="K41" s="347">
        <f t="shared" si="5"/>
        <v>0</v>
      </c>
      <c r="L41" s="786"/>
      <c r="M41" s="345">
        <f t="shared" si="6"/>
        <v>0</v>
      </c>
      <c r="N41" s="1013"/>
    </row>
    <row r="42" spans="1:14" s="120" customFormat="1" ht="12" thickBot="1">
      <c r="A42" s="45"/>
      <c r="B42" s="734" t="s">
        <v>899</v>
      </c>
      <c r="C42" s="735"/>
      <c r="D42" s="646">
        <f>SUM(D13:D14,D17,D29,D32,D37:D40)</f>
        <v>5390125.57</v>
      </c>
      <c r="E42" s="736"/>
      <c r="F42" s="736">
        <f>F13+F17+F19+F29+F35+F37+F38</f>
        <v>0</v>
      </c>
      <c r="G42" s="736">
        <f>G13+G17+G19+G29+G35+G37+G38</f>
        <v>0</v>
      </c>
      <c r="H42" s="204">
        <f t="shared" si="4"/>
        <v>5390125.57</v>
      </c>
      <c r="I42" s="737">
        <v>4026262.96</v>
      </c>
      <c r="J42" s="737">
        <f>SUM(J13:J14,J17,J29,J35,J37:J40)</f>
        <v>3679346.2100000004</v>
      </c>
      <c r="K42" s="401">
        <f t="shared" si="5"/>
        <v>1710.7793599999998</v>
      </c>
      <c r="L42" s="1020">
        <f>K42/J42*1000</f>
        <v>0.4649683020723401</v>
      </c>
      <c r="M42" s="1189">
        <f t="shared" si="6"/>
        <v>1363.8626100000004</v>
      </c>
      <c r="N42" s="1021">
        <f>M42/I42*1000</f>
        <v>0.33874156346708173</v>
      </c>
    </row>
    <row r="43" spans="1:14" ht="12" thickTop="1">
      <c r="A43" s="31"/>
      <c r="B43" s="33"/>
      <c r="C43" s="725"/>
      <c r="D43" s="419"/>
      <c r="E43" s="294"/>
      <c r="F43" s="114"/>
      <c r="G43" s="12"/>
      <c r="H43" s="115"/>
      <c r="I43" s="727">
        <f>I42-'Control BS'!I14</f>
        <v>0</v>
      </c>
      <c r="J43" s="727">
        <f>ROUND(J42,0)-'Control BS'!J14</f>
        <v>0</v>
      </c>
      <c r="K43" s="25">
        <f>IF(H43&lt;&gt;0,(+H43-J43)/1000,IF(J43&lt;&gt;0,(H43-J43)/1000,""))</f>
      </c>
      <c r="L43" s="434">
        <f>IF(H43&lt;&gt;0,IF(J43=0,1,+K43/J43*1000),IF(J43&lt;&gt;0,+K43/J43*1000,""))</f>
      </c>
      <c r="M43" s="1187"/>
      <c r="N43" s="21"/>
    </row>
    <row r="44" spans="1:14" ht="11.25">
      <c r="A44" s="31"/>
      <c r="B44" s="33"/>
      <c r="C44" s="725"/>
      <c r="D44" s="114"/>
      <c r="E44" s="294"/>
      <c r="F44" s="114"/>
      <c r="G44" s="12"/>
      <c r="H44" s="115"/>
      <c r="I44" s="114"/>
      <c r="J44" s="1304" t="s">
        <v>1140</v>
      </c>
      <c r="K44" s="25"/>
      <c r="L44" s="434"/>
      <c r="M44" s="1187"/>
      <c r="N44" s="21"/>
    </row>
    <row r="45" spans="1:14" ht="11.25">
      <c r="A45" s="31"/>
      <c r="B45" s="29" t="s">
        <v>900</v>
      </c>
      <c r="C45" s="725"/>
      <c r="D45" s="419"/>
      <c r="E45" s="294"/>
      <c r="F45" s="114"/>
      <c r="G45" s="12"/>
      <c r="H45" s="115"/>
      <c r="I45" s="727"/>
      <c r="J45" s="727"/>
      <c r="K45" s="25">
        <f>IF(H45&lt;&gt;0,(+H45-J45)/1000,IF(J45&lt;&gt;0,(H45-J45)/1000,""))</f>
      </c>
      <c r="L45" s="435">
        <f>IF(H45&lt;&gt;0,IF(J45=0,1,+K45/J45*1000),IF(J45&lt;&gt;0,+K45/J45*1000,""))</f>
      </c>
      <c r="M45" s="1187"/>
      <c r="N45" s="21"/>
    </row>
    <row r="46" spans="1:14" ht="11.25">
      <c r="A46" s="31"/>
      <c r="B46" s="33"/>
      <c r="C46" s="725"/>
      <c r="D46" s="419"/>
      <c r="E46" s="294"/>
      <c r="F46" s="114"/>
      <c r="G46" s="12"/>
      <c r="H46" s="115"/>
      <c r="I46" s="727"/>
      <c r="J46" s="727"/>
      <c r="K46" s="25">
        <f>IF(H46&lt;&gt;0,(+H46-J46)/1000,IF(J46&lt;&gt;0,(H46-J46)/1000,""))</f>
      </c>
      <c r="L46" s="435">
        <f>IF(H46&lt;&gt;0,IF(J46=0,1,+K46/J46*1000),IF(J46&lt;&gt;0,+K46/J46*1000,""))</f>
      </c>
      <c r="M46" s="1187"/>
      <c r="N46" s="21"/>
    </row>
    <row r="47" spans="1:14" ht="12" thickBot="1">
      <c r="A47" s="902">
        <v>144030</v>
      </c>
      <c r="B47" s="18" t="s">
        <v>549</v>
      </c>
      <c r="C47" s="721"/>
      <c r="D47" s="132">
        <f>VLOOKUP(A47,TB!$A:$E,5,FALSE)</f>
        <v>581853.5</v>
      </c>
      <c r="E47" s="132"/>
      <c r="F47" s="132"/>
      <c r="G47" s="327"/>
      <c r="H47" s="132">
        <f>D47+F47-G47</f>
        <v>581853.5</v>
      </c>
      <c r="I47" s="722">
        <v>469404</v>
      </c>
      <c r="J47" s="722">
        <v>498454</v>
      </c>
      <c r="K47" s="750">
        <f>(H47-J47)/1000</f>
        <v>83.3995</v>
      </c>
      <c r="L47" s="1022">
        <f>K47/J47*1000</f>
        <v>0.16731634212986554</v>
      </c>
      <c r="M47" s="1186">
        <f>(H47-I47)/1000</f>
        <v>112.4495</v>
      </c>
      <c r="N47" s="1023">
        <f>M47/I47*1000</f>
        <v>0.23955803529582195</v>
      </c>
    </row>
    <row r="48" spans="1:14" ht="12" thickTop="1">
      <c r="A48" s="31"/>
      <c r="B48" s="33"/>
      <c r="C48" s="725"/>
      <c r="D48" s="419"/>
      <c r="E48" s="294"/>
      <c r="F48" s="114"/>
      <c r="G48" s="12"/>
      <c r="H48" s="115"/>
      <c r="I48" s="727">
        <f>I47-'Control BS'!I19</f>
        <v>0</v>
      </c>
      <c r="J48" s="727">
        <f>ROUND(J47,0)-'Control BS'!J19</f>
        <v>0</v>
      </c>
      <c r="K48" s="25">
        <f>IF(H48&lt;&gt;0,(+H48-J48)/1000,IF(J48&lt;&gt;0,(H48-J48)/1000,""))</f>
      </c>
      <c r="L48" s="434">
        <f>IF(H48&lt;&gt;0,IF(J48=0,1,+K48/J48*1000),IF(J48&lt;&gt;0,+K48/J48*1000,""))</f>
      </c>
      <c r="M48" s="1187"/>
      <c r="N48" s="21"/>
    </row>
    <row r="49" spans="1:14" ht="11.25">
      <c r="A49" s="31"/>
      <c r="B49" s="33"/>
      <c r="C49" s="725"/>
      <c r="D49" s="419"/>
      <c r="E49" s="294"/>
      <c r="F49" s="114"/>
      <c r="G49" s="12"/>
      <c r="H49" s="115"/>
      <c r="I49" s="727"/>
      <c r="J49" s="1304" t="s">
        <v>1140</v>
      </c>
      <c r="K49" s="25"/>
      <c r="L49" s="435"/>
      <c r="M49" s="1187"/>
      <c r="N49" s="21"/>
    </row>
    <row r="50" spans="1:14" ht="11.25">
      <c r="A50" s="31"/>
      <c r="B50" s="29" t="s">
        <v>901</v>
      </c>
      <c r="C50" s="725"/>
      <c r="D50" s="419"/>
      <c r="E50" s="294"/>
      <c r="F50" s="114"/>
      <c r="G50" s="12"/>
      <c r="H50" s="115"/>
      <c r="I50" s="727"/>
      <c r="J50" s="727"/>
      <c r="K50" s="25">
        <f>IF(H50&lt;&gt;0,(+H50-J50)/1000,IF(J50&lt;&gt;0,(H50-J50)/1000,""))</f>
      </c>
      <c r="L50" s="435">
        <f>IF(H50&lt;&gt;0,IF(J50=0,1,+K50/J50*1000),IF(J50&lt;&gt;0,+K50/J50*1000,""))</f>
      </c>
      <c r="M50" s="1187"/>
      <c r="N50" s="21"/>
    </row>
    <row r="51" spans="1:14" ht="11.25">
      <c r="A51" s="903">
        <v>170130</v>
      </c>
      <c r="B51" s="33" t="s">
        <v>552</v>
      </c>
      <c r="C51" s="725"/>
      <c r="D51" s="1074">
        <f>VLOOKUP(A51,TB!$A:$E,5,FALSE)</f>
        <v>10769</v>
      </c>
      <c r="E51" s="294"/>
      <c r="F51" s="114"/>
      <c r="G51" s="12"/>
      <c r="H51" s="115">
        <f>D51+F51-G51</f>
        <v>10769</v>
      </c>
      <c r="I51" s="727">
        <v>10769</v>
      </c>
      <c r="J51" s="727">
        <v>10769</v>
      </c>
      <c r="K51" s="347">
        <f>(H51-J51)/1000</f>
        <v>0</v>
      </c>
      <c r="L51" s="786">
        <f>K51/J51*1000</f>
        <v>0</v>
      </c>
      <c r="M51" s="345">
        <f>(H51-I51)/1000</f>
        <v>0</v>
      </c>
      <c r="N51" s="1013">
        <f>M51/I51*1000</f>
        <v>0</v>
      </c>
    </row>
    <row r="52" spans="1:14" ht="11.25">
      <c r="A52" s="903">
        <v>170140</v>
      </c>
      <c r="B52" s="33" t="s">
        <v>553</v>
      </c>
      <c r="C52" s="726"/>
      <c r="D52" s="1074">
        <f>VLOOKUP(A52,TB!$A:$E,5,FALSE)</f>
        <v>400760.44999999995</v>
      </c>
      <c r="E52" s="294"/>
      <c r="F52" s="114"/>
      <c r="G52" s="12"/>
      <c r="H52" s="115">
        <f>D52+F52-G52</f>
        <v>400760.44999999995</v>
      </c>
      <c r="I52" s="727">
        <v>479424</v>
      </c>
      <c r="J52" s="727">
        <v>400760.45</v>
      </c>
      <c r="K52" s="347">
        <f>(H52-J52)/1000</f>
        <v>-5.820766091346741E-14</v>
      </c>
      <c r="L52" s="786">
        <f>K52/J52*1000</f>
        <v>-1.4524302713370892E-16</v>
      </c>
      <c r="M52" s="345">
        <f>(H52-I52)/1000</f>
        <v>-78.66355000000004</v>
      </c>
      <c r="N52" s="1013">
        <f>M52/I52*1000</f>
        <v>-0.16407929098251245</v>
      </c>
    </row>
    <row r="53" spans="1:14" ht="11.25">
      <c r="A53" s="903">
        <v>171120</v>
      </c>
      <c r="B53" s="33" t="s">
        <v>554</v>
      </c>
      <c r="C53" s="726"/>
      <c r="D53" s="1074">
        <f>VLOOKUP(A53,TB!$A:$E,5,FALSE)</f>
        <v>65796.76999999999</v>
      </c>
      <c r="E53" s="294"/>
      <c r="F53" s="12"/>
      <c r="G53" s="12"/>
      <c r="H53" s="115">
        <f>D53+F53-G53</f>
        <v>65796.76999999999</v>
      </c>
      <c r="I53" s="727">
        <v>65796.77</v>
      </c>
      <c r="J53" s="727">
        <v>65796.77</v>
      </c>
      <c r="K53" s="347">
        <f>(H53-J53)/1000</f>
        <v>-1.4551915228366852E-14</v>
      </c>
      <c r="L53" s="786">
        <f>K53/J53*1000</f>
        <v>-2.2116458343421493E-16</v>
      </c>
      <c r="M53" s="345">
        <f>(H53-I53)/1000</f>
        <v>-1.4551915228366852E-14</v>
      </c>
      <c r="N53" s="1013">
        <f>M53/I53*1000</f>
        <v>-2.2116458343421493E-16</v>
      </c>
    </row>
    <row r="54" spans="1:14" ht="12" thickBot="1">
      <c r="A54" s="45"/>
      <c r="B54" s="46"/>
      <c r="C54" s="738"/>
      <c r="D54" s="1191">
        <f>SUM(D51:D53)</f>
        <v>477326.22</v>
      </c>
      <c r="E54" s="328"/>
      <c r="F54" s="211"/>
      <c r="G54" s="211"/>
      <c r="H54" s="204">
        <f>D54+F54-G54</f>
        <v>477326.22</v>
      </c>
      <c r="I54" s="739">
        <v>555989.77</v>
      </c>
      <c r="J54" s="739">
        <f>SUM(J51:J53)</f>
        <v>477326.22000000003</v>
      </c>
      <c r="K54" s="746">
        <f>(H54-J54)/1000</f>
        <v>-5.820766091346741E-14</v>
      </c>
      <c r="L54" s="1018">
        <f>K54/J54*1000</f>
        <v>-1.2194524095799178E-16</v>
      </c>
      <c r="M54" s="1190">
        <f>(H54-I54)/1000</f>
        <v>-78.66355000000004</v>
      </c>
      <c r="N54" s="1019">
        <f>M54/I54*1000</f>
        <v>-0.14148380823625592</v>
      </c>
    </row>
    <row r="55" spans="1:14" ht="12" thickTop="1">
      <c r="A55" s="31"/>
      <c r="B55" s="33"/>
      <c r="C55" s="726"/>
      <c r="D55" s="419"/>
      <c r="E55" s="294"/>
      <c r="F55" s="12"/>
      <c r="G55" s="12"/>
      <c r="H55" s="115"/>
      <c r="I55" s="727">
        <f>I54-'Control BS'!I23</f>
        <v>0</v>
      </c>
      <c r="J55" s="727">
        <f>ROUND(J54,0)-'Control BS'!J23</f>
        <v>0</v>
      </c>
      <c r="K55" s="347"/>
      <c r="L55" s="679"/>
      <c r="M55" s="345"/>
      <c r="N55" s="654"/>
    </row>
    <row r="56" spans="1:14" ht="11.25">
      <c r="A56" s="31"/>
      <c r="B56" s="33"/>
      <c r="C56" s="726"/>
      <c r="D56" s="419"/>
      <c r="E56" s="294"/>
      <c r="F56" s="12"/>
      <c r="G56" s="12"/>
      <c r="H56" s="115"/>
      <c r="I56" s="727"/>
      <c r="J56" s="1304" t="s">
        <v>1140</v>
      </c>
      <c r="K56" s="347"/>
      <c r="L56" s="679"/>
      <c r="M56" s="345"/>
      <c r="N56" s="654"/>
    </row>
    <row r="57" spans="1:14" ht="11.25">
      <c r="A57" s="31"/>
      <c r="B57" s="33" t="s">
        <v>639</v>
      </c>
      <c r="C57" s="726"/>
      <c r="D57" s="419"/>
      <c r="E57" s="294"/>
      <c r="F57" s="12"/>
      <c r="G57" s="12"/>
      <c r="H57" s="115">
        <f>D57+F57-G57</f>
        <v>0</v>
      </c>
      <c r="I57" s="727">
        <v>0</v>
      </c>
      <c r="J57" s="727"/>
      <c r="K57" s="25">
        <f>IF(H57&lt;&gt;0,(+H57-J57)/1000,IF(J57&lt;&gt;0,(H57-J57)/1000,""))</f>
      </c>
      <c r="L57" s="435">
        <f>IF(H57&lt;&gt;0,IF(J57=0,1,+K57/J57*1000),IF(J57&lt;&gt;0,+K57/J57*1000,""))</f>
      </c>
      <c r="M57" s="1187"/>
      <c r="N57" s="21"/>
    </row>
    <row r="58" spans="1:14" ht="11.25">
      <c r="A58" s="903"/>
      <c r="B58" s="33" t="s">
        <v>555</v>
      </c>
      <c r="C58" s="726"/>
      <c r="D58" s="537"/>
      <c r="E58" s="294"/>
      <c r="F58" s="12"/>
      <c r="G58" s="12"/>
      <c r="H58" s="115">
        <f>D58+F58-G58</f>
        <v>0</v>
      </c>
      <c r="I58" s="727">
        <v>0</v>
      </c>
      <c r="J58" s="727">
        <v>0</v>
      </c>
      <c r="K58" s="347">
        <f>(H58-J58)/1000</f>
        <v>0</v>
      </c>
      <c r="L58" s="786"/>
      <c r="M58" s="345">
        <f>(H58-I58)/1000</f>
        <v>0</v>
      </c>
      <c r="N58" s="1013"/>
    </row>
    <row r="59" spans="1:14" ht="12" thickBot="1">
      <c r="A59" s="45"/>
      <c r="B59" s="734" t="s">
        <v>955</v>
      </c>
      <c r="C59" s="735"/>
      <c r="D59" s="632"/>
      <c r="E59" s="736"/>
      <c r="F59" s="736"/>
      <c r="G59" s="736"/>
      <c r="H59" s="204">
        <f>D59+F59-G59</f>
        <v>0</v>
      </c>
      <c r="I59" s="740">
        <v>0</v>
      </c>
      <c r="J59" s="1193">
        <f>SUM(J57:J58)</f>
        <v>0</v>
      </c>
      <c r="K59" s="746">
        <f>(H59-J59)/1000</f>
        <v>0</v>
      </c>
      <c r="L59" s="1018"/>
      <c r="M59" s="1190">
        <f>(H59-I59)/1000</f>
        <v>0</v>
      </c>
      <c r="N59" s="1019"/>
    </row>
    <row r="60" spans="1:14" ht="12" thickTop="1">
      <c r="A60" s="31"/>
      <c r="B60" s="32"/>
      <c r="C60" s="726"/>
      <c r="D60" s="1195"/>
      <c r="E60" s="1196"/>
      <c r="F60" s="1197"/>
      <c r="G60" s="1197"/>
      <c r="H60" s="115"/>
      <c r="I60" s="727"/>
      <c r="J60" s="1198"/>
      <c r="K60" s="347"/>
      <c r="L60" s="679"/>
      <c r="M60" s="345"/>
      <c r="N60" s="654"/>
    </row>
    <row r="61" spans="1:14" ht="11.25">
      <c r="A61" s="31"/>
      <c r="B61" s="29" t="s">
        <v>556</v>
      </c>
      <c r="C61" s="726"/>
      <c r="D61" s="419"/>
      <c r="E61" s="294"/>
      <c r="F61" s="12"/>
      <c r="G61" s="12"/>
      <c r="H61" s="115">
        <f>D61+F61-G61</f>
        <v>0</v>
      </c>
      <c r="I61" s="727">
        <v>0</v>
      </c>
      <c r="J61" s="727"/>
      <c r="K61" s="25">
        <f>IF(H61&lt;&gt;0,(+H61-J61)/1000,IF(J61&lt;&gt;0,(H61-J61)/1000,""))</f>
      </c>
      <c r="L61" s="435">
        <f>IF(H61&lt;&gt;0,IF(J61=0,1,+K61/J61*1000),IF(J61&lt;&gt;0,+K61/J61*1000,""))</f>
      </c>
      <c r="M61" s="1187"/>
      <c r="N61" s="21"/>
    </row>
    <row r="62" spans="1:14" ht="11.25">
      <c r="A62" s="31"/>
      <c r="B62" s="29"/>
      <c r="C62" s="726"/>
      <c r="D62" s="419"/>
      <c r="E62" s="294"/>
      <c r="F62" s="12"/>
      <c r="G62" s="12"/>
      <c r="H62" s="115">
        <f>D62+F62-G62</f>
        <v>0</v>
      </c>
      <c r="I62" s="727">
        <v>0</v>
      </c>
      <c r="J62" s="727"/>
      <c r="K62" s="25">
        <f>IF(H62&lt;&gt;0,(+H62-J62)/1000,IF(J62&lt;&gt;0,(H62-J62)/1000,""))</f>
      </c>
      <c r="L62" s="435">
        <f>IF(H62&lt;&gt;0,IF(J62=0,1,+K62/J62*1000),IF(J62&lt;&gt;0,+K62/J62*1000,""))</f>
      </c>
      <c r="M62" s="1187"/>
      <c r="N62" s="21"/>
    </row>
    <row r="63" spans="1:14" ht="12" thickBot="1">
      <c r="A63" s="1194">
        <v>160111</v>
      </c>
      <c r="B63" s="46" t="s">
        <v>556</v>
      </c>
      <c r="C63" s="738"/>
      <c r="D63" s="328">
        <f>VLOOKUP(A63,TB!$A:$E,5,FALSE)</f>
        <v>104782995</v>
      </c>
      <c r="E63" s="328"/>
      <c r="F63" s="207"/>
      <c r="G63" s="207" t="e">
        <f>#REF!</f>
        <v>#REF!</v>
      </c>
      <c r="H63" s="204" t="e">
        <f>D63+F63-G63</f>
        <v>#REF!</v>
      </c>
      <c r="I63" s="740">
        <v>104782995</v>
      </c>
      <c r="J63" s="740">
        <v>104782995</v>
      </c>
      <c r="K63" s="746" t="e">
        <f>(H63-J63)/1000</f>
        <v>#REF!</v>
      </c>
      <c r="L63" s="1018" t="e">
        <f>K63/J63*1000</f>
        <v>#REF!</v>
      </c>
      <c r="M63" s="1190" t="e">
        <f>(H63-I63)/1000</f>
        <v>#REF!</v>
      </c>
      <c r="N63" s="1019" t="e">
        <f>M63/I63*1000</f>
        <v>#REF!</v>
      </c>
    </row>
    <row r="64" spans="3:10" ht="12" thickTop="1">
      <c r="C64" s="741"/>
      <c r="D64" s="633"/>
      <c r="E64" s="53"/>
      <c r="F64" s="53"/>
      <c r="G64" s="53"/>
      <c r="I64" s="742">
        <f>I63-'Control BS'!I22</f>
        <v>0</v>
      </c>
      <c r="J64" s="742">
        <f>ROUND(J63,0)-'Control BS'!J22</f>
        <v>0</v>
      </c>
    </row>
    <row r="65" spans="1:10" ht="11.25">
      <c r="A65" s="1" t="s">
        <v>1141</v>
      </c>
      <c r="C65" s="741"/>
      <c r="I65" s="743"/>
      <c r="J65" s="1201" t="s">
        <v>1140</v>
      </c>
    </row>
    <row r="66" spans="1:10" ht="11.25">
      <c r="A66" s="1" t="s">
        <v>167</v>
      </c>
      <c r="C66" s="741"/>
      <c r="I66" s="743"/>
      <c r="J66" s="743"/>
    </row>
    <row r="67" spans="3:10" ht="11.25">
      <c r="C67" s="741"/>
      <c r="I67" s="743"/>
      <c r="J67" s="743"/>
    </row>
    <row r="68" spans="3:10" ht="11.25">
      <c r="C68" s="741"/>
      <c r="I68" s="743"/>
      <c r="J68" s="743"/>
    </row>
    <row r="69" spans="3:10" ht="11.25">
      <c r="C69" s="741"/>
      <c r="I69" s="743"/>
      <c r="J69" s="743"/>
    </row>
    <row r="70" spans="3:10" ht="11.25">
      <c r="C70" s="741"/>
      <c r="I70" s="743"/>
      <c r="J70" s="743"/>
    </row>
    <row r="71" spans="3:10" ht="11.25">
      <c r="C71" s="741"/>
      <c r="I71" s="743"/>
      <c r="J71" s="743"/>
    </row>
    <row r="72" ht="11.25">
      <c r="C72" s="741"/>
    </row>
    <row r="73" ht="11.25">
      <c r="C73" s="741"/>
    </row>
    <row r="74" ht="11.25">
      <c r="C74" s="741"/>
    </row>
    <row r="75" ht="11.25">
      <c r="C75" s="741"/>
    </row>
    <row r="76" ht="11.25">
      <c r="C76" s="741"/>
    </row>
    <row r="77" ht="11.25">
      <c r="C77" s="741"/>
    </row>
    <row r="78" ht="11.25">
      <c r="C78" s="741"/>
    </row>
    <row r="79" ht="11.25">
      <c r="C79" s="741"/>
    </row>
    <row r="80" ht="11.25">
      <c r="C80" s="741"/>
    </row>
    <row r="81" ht="11.25">
      <c r="C81" s="741"/>
    </row>
    <row r="82" ht="11.25">
      <c r="C82" s="741"/>
    </row>
    <row r="83" ht="11.25">
      <c r="C83" s="741"/>
    </row>
    <row r="84" ht="11.25">
      <c r="C84" s="741"/>
    </row>
    <row r="85" ht="11.25">
      <c r="C85" s="741"/>
    </row>
    <row r="86" ht="11.25">
      <c r="C86" s="741"/>
    </row>
    <row r="87" ht="11.25">
      <c r="C87" s="741"/>
    </row>
    <row r="88" ht="11.25">
      <c r="C88" s="741"/>
    </row>
    <row r="89" ht="11.25">
      <c r="C89" s="741"/>
    </row>
    <row r="90" ht="11.25">
      <c r="C90" s="741"/>
    </row>
    <row r="91" ht="11.25">
      <c r="C91" s="741"/>
    </row>
    <row r="92" ht="11.25">
      <c r="C92" s="741"/>
    </row>
    <row r="93" ht="11.25">
      <c r="C93" s="741"/>
    </row>
    <row r="94" ht="11.25">
      <c r="C94" s="741"/>
    </row>
    <row r="95" ht="11.25">
      <c r="C95" s="741"/>
    </row>
    <row r="96" ht="11.25">
      <c r="C96" s="741"/>
    </row>
    <row r="97" ht="11.25">
      <c r="C97" s="741"/>
    </row>
    <row r="98" ht="11.25">
      <c r="C98" s="741"/>
    </row>
    <row r="99" ht="11.25">
      <c r="C99" s="741"/>
    </row>
    <row r="100" ht="11.25">
      <c r="C100" s="741"/>
    </row>
    <row r="101" ht="11.25">
      <c r="C101" s="741"/>
    </row>
    <row r="102" ht="11.25">
      <c r="C102" s="741"/>
    </row>
    <row r="103" ht="11.25">
      <c r="C103" s="741"/>
    </row>
    <row r="104" ht="11.25">
      <c r="C104" s="741"/>
    </row>
    <row r="105" ht="11.25">
      <c r="C105" s="741"/>
    </row>
    <row r="106" ht="11.25">
      <c r="C106" s="741"/>
    </row>
    <row r="107" ht="11.25">
      <c r="C107" s="741"/>
    </row>
    <row r="108" ht="11.25">
      <c r="C108" s="741"/>
    </row>
    <row r="109" ht="11.25">
      <c r="C109" s="741"/>
    </row>
    <row r="110" ht="11.25">
      <c r="C110" s="741"/>
    </row>
    <row r="111" ht="11.25">
      <c r="C111" s="741"/>
    </row>
    <row r="112" ht="11.25">
      <c r="C112" s="741"/>
    </row>
    <row r="113" ht="11.25">
      <c r="C113" s="741"/>
    </row>
    <row r="114" ht="11.25">
      <c r="C114" s="741"/>
    </row>
    <row r="115" ht="11.25">
      <c r="C115" s="741"/>
    </row>
    <row r="116" ht="11.25">
      <c r="C116" s="741"/>
    </row>
    <row r="117" ht="11.25">
      <c r="C117" s="741"/>
    </row>
    <row r="118" ht="11.25">
      <c r="C118" s="741"/>
    </row>
    <row r="119" ht="11.25">
      <c r="C119" s="741"/>
    </row>
    <row r="120" ht="11.25">
      <c r="C120" s="741"/>
    </row>
    <row r="121" ht="11.25">
      <c r="C121" s="741"/>
    </row>
    <row r="122" ht="11.25">
      <c r="C122" s="741"/>
    </row>
    <row r="123" ht="11.25">
      <c r="C123" s="741"/>
    </row>
    <row r="124" ht="11.25">
      <c r="C124" s="741"/>
    </row>
    <row r="125" ht="11.25">
      <c r="C125" s="741"/>
    </row>
    <row r="126" ht="11.25">
      <c r="C126" s="741"/>
    </row>
    <row r="127" ht="11.25">
      <c r="C127" s="741"/>
    </row>
    <row r="128" ht="11.25">
      <c r="C128" s="741"/>
    </row>
    <row r="129" ht="11.25">
      <c r="C129" s="741"/>
    </row>
    <row r="130" ht="11.25">
      <c r="C130" s="741"/>
    </row>
    <row r="131" ht="11.25">
      <c r="C131" s="741"/>
    </row>
    <row r="132" ht="11.25">
      <c r="C132" s="741"/>
    </row>
    <row r="133" ht="11.25">
      <c r="C133" s="741"/>
    </row>
    <row r="134" ht="11.25">
      <c r="C134" s="741"/>
    </row>
    <row r="135" ht="11.25">
      <c r="C135" s="741"/>
    </row>
    <row r="136" ht="11.25">
      <c r="C136" s="741"/>
    </row>
    <row r="137" ht="11.25">
      <c r="C137" s="741"/>
    </row>
    <row r="138" ht="11.25">
      <c r="C138" s="741"/>
    </row>
    <row r="139" ht="11.25">
      <c r="C139" s="741"/>
    </row>
    <row r="140" ht="11.25">
      <c r="C140" s="741"/>
    </row>
    <row r="141" ht="11.25">
      <c r="C141" s="741"/>
    </row>
    <row r="142" ht="11.25">
      <c r="C142" s="741"/>
    </row>
    <row r="143" ht="11.25">
      <c r="C143" s="741"/>
    </row>
    <row r="144" ht="11.25">
      <c r="C144" s="741"/>
    </row>
    <row r="145" ht="11.25">
      <c r="C145" s="741"/>
    </row>
    <row r="146" ht="11.25">
      <c r="C146" s="741"/>
    </row>
    <row r="147" ht="11.25">
      <c r="C147" s="741"/>
    </row>
    <row r="148" ht="11.25">
      <c r="C148" s="741"/>
    </row>
    <row r="149" ht="11.25">
      <c r="C149" s="741"/>
    </row>
    <row r="150" ht="11.25">
      <c r="C150" s="741"/>
    </row>
    <row r="151" ht="11.25">
      <c r="C151" s="741"/>
    </row>
    <row r="152" ht="11.25">
      <c r="C152" s="741"/>
    </row>
    <row r="153" ht="11.25">
      <c r="C153" s="741"/>
    </row>
    <row r="154" ht="11.25">
      <c r="C154" s="741"/>
    </row>
    <row r="155" ht="11.25">
      <c r="C155" s="741"/>
    </row>
    <row r="156" ht="11.25">
      <c r="C156" s="741"/>
    </row>
    <row r="157" ht="11.25">
      <c r="C157" s="741"/>
    </row>
    <row r="158" ht="11.25">
      <c r="C158" s="741"/>
    </row>
    <row r="159" ht="11.25">
      <c r="C159" s="741"/>
    </row>
    <row r="160" ht="11.25">
      <c r="C160" s="741"/>
    </row>
    <row r="161" ht="11.25">
      <c r="C161" s="741"/>
    </row>
    <row r="162" ht="11.25">
      <c r="C162" s="741"/>
    </row>
    <row r="163" ht="11.25">
      <c r="C163" s="741"/>
    </row>
    <row r="164" ht="11.25">
      <c r="C164" s="741"/>
    </row>
    <row r="165" ht="11.25">
      <c r="C165" s="741"/>
    </row>
    <row r="166" ht="11.25">
      <c r="C166" s="741"/>
    </row>
    <row r="167" ht="11.25">
      <c r="C167" s="741"/>
    </row>
    <row r="168" ht="11.25">
      <c r="C168" s="741"/>
    </row>
    <row r="169" ht="11.25">
      <c r="C169" s="741"/>
    </row>
    <row r="170" ht="11.25">
      <c r="C170" s="741"/>
    </row>
    <row r="171" ht="11.25">
      <c r="C171" s="741"/>
    </row>
    <row r="172" ht="11.25">
      <c r="C172" s="741"/>
    </row>
    <row r="173" ht="11.25">
      <c r="C173" s="741"/>
    </row>
    <row r="174" ht="11.25">
      <c r="C174" s="741"/>
    </row>
    <row r="175" ht="11.25">
      <c r="C175" s="741"/>
    </row>
    <row r="176" ht="11.25">
      <c r="C176" s="741"/>
    </row>
    <row r="177" ht="11.25">
      <c r="C177" s="741"/>
    </row>
    <row r="178" ht="11.25">
      <c r="C178" s="741"/>
    </row>
    <row r="179" ht="11.25">
      <c r="C179" s="741"/>
    </row>
    <row r="180" ht="11.25">
      <c r="C180" s="741"/>
    </row>
    <row r="181" ht="11.25">
      <c r="C181" s="741"/>
    </row>
    <row r="182" ht="11.25">
      <c r="C182" s="741"/>
    </row>
    <row r="183" ht="11.25">
      <c r="C183" s="741"/>
    </row>
    <row r="184" ht="11.25">
      <c r="C184" s="741"/>
    </row>
    <row r="185" ht="11.25">
      <c r="C185" s="741"/>
    </row>
    <row r="186" ht="11.25">
      <c r="C186" s="741"/>
    </row>
    <row r="187" ht="11.25">
      <c r="C187" s="741"/>
    </row>
    <row r="188" ht="11.25">
      <c r="C188" s="741"/>
    </row>
    <row r="189" ht="11.25">
      <c r="C189" s="741"/>
    </row>
    <row r="190" ht="11.25">
      <c r="C190" s="741"/>
    </row>
    <row r="191" ht="11.25">
      <c r="C191" s="741"/>
    </row>
    <row r="192" ht="11.25">
      <c r="C192" s="741"/>
    </row>
    <row r="193" ht="11.25">
      <c r="C193" s="741"/>
    </row>
    <row r="194" ht="11.25">
      <c r="C194" s="741"/>
    </row>
    <row r="195" ht="11.25">
      <c r="C195" s="741"/>
    </row>
    <row r="196" ht="11.25">
      <c r="C196" s="741"/>
    </row>
    <row r="197" ht="11.25">
      <c r="C197" s="741"/>
    </row>
    <row r="198" ht="11.25">
      <c r="C198" s="741"/>
    </row>
    <row r="199" ht="11.25">
      <c r="C199" s="741"/>
    </row>
    <row r="200" ht="11.25">
      <c r="C200" s="741"/>
    </row>
    <row r="201" ht="11.25">
      <c r="C201" s="741"/>
    </row>
    <row r="202" ht="11.25">
      <c r="C202" s="741"/>
    </row>
    <row r="203" ht="11.25">
      <c r="C203" s="741"/>
    </row>
    <row r="204" ht="11.25">
      <c r="C204" s="741"/>
    </row>
    <row r="205" ht="11.25">
      <c r="C205" s="741"/>
    </row>
    <row r="206" ht="11.25">
      <c r="C206" s="741"/>
    </row>
    <row r="207" ht="11.25">
      <c r="C207" s="741"/>
    </row>
    <row r="208" ht="11.25">
      <c r="C208" s="741"/>
    </row>
    <row r="209" ht="11.25">
      <c r="C209" s="741"/>
    </row>
    <row r="210" ht="11.25">
      <c r="C210" s="741"/>
    </row>
    <row r="211" ht="11.25">
      <c r="C211" s="741"/>
    </row>
    <row r="212" ht="11.25">
      <c r="C212" s="741"/>
    </row>
    <row r="213" ht="11.25">
      <c r="C213" s="741"/>
    </row>
    <row r="214" ht="11.25">
      <c r="C214" s="741"/>
    </row>
    <row r="215" ht="11.25">
      <c r="C215" s="741"/>
    </row>
    <row r="216" ht="11.25">
      <c r="C216" s="741"/>
    </row>
    <row r="217" ht="11.25">
      <c r="C217" s="741"/>
    </row>
    <row r="218" ht="11.25">
      <c r="C218" s="741"/>
    </row>
    <row r="219" ht="11.25">
      <c r="C219" s="741"/>
    </row>
    <row r="220" ht="11.25">
      <c r="C220" s="741"/>
    </row>
    <row r="221" ht="11.25">
      <c r="C221" s="741"/>
    </row>
    <row r="222" ht="11.25">
      <c r="C222" s="741"/>
    </row>
    <row r="223" ht="11.25">
      <c r="C223" s="741"/>
    </row>
    <row r="224" ht="11.25">
      <c r="C224" s="741"/>
    </row>
    <row r="225" ht="11.25">
      <c r="C225" s="741"/>
    </row>
    <row r="226" ht="11.25">
      <c r="C226" s="741"/>
    </row>
    <row r="227" ht="11.25">
      <c r="C227" s="741"/>
    </row>
    <row r="228" ht="11.25">
      <c r="C228" s="741"/>
    </row>
    <row r="229" ht="11.25">
      <c r="C229" s="741"/>
    </row>
    <row r="230" ht="11.25">
      <c r="C230" s="741"/>
    </row>
    <row r="231" ht="11.25">
      <c r="C231" s="741"/>
    </row>
    <row r="232" ht="11.25">
      <c r="C232" s="741"/>
    </row>
    <row r="233" ht="11.25">
      <c r="C233" s="741"/>
    </row>
    <row r="234" ht="11.25">
      <c r="C234" s="741"/>
    </row>
    <row r="235" ht="11.25">
      <c r="C235" s="741"/>
    </row>
    <row r="236" ht="11.25">
      <c r="C236" s="741"/>
    </row>
    <row r="237" ht="11.25">
      <c r="C237" s="741"/>
    </row>
    <row r="238" ht="11.25">
      <c r="C238" s="741"/>
    </row>
    <row r="239" ht="11.25">
      <c r="C239" s="741"/>
    </row>
    <row r="240" ht="11.25">
      <c r="C240" s="741"/>
    </row>
    <row r="241" ht="11.25">
      <c r="C241" s="741"/>
    </row>
    <row r="242" ht="11.25">
      <c r="C242" s="741"/>
    </row>
    <row r="243" ht="11.25">
      <c r="C243" s="741"/>
    </row>
    <row r="244" ht="11.25">
      <c r="C244" s="741"/>
    </row>
    <row r="245" ht="11.25">
      <c r="C245" s="741"/>
    </row>
    <row r="246" ht="11.25">
      <c r="C246" s="741"/>
    </row>
    <row r="247" ht="11.25">
      <c r="C247" s="741"/>
    </row>
    <row r="248" ht="11.25">
      <c r="C248" s="741"/>
    </row>
    <row r="249" ht="11.25">
      <c r="C249" s="741"/>
    </row>
    <row r="250" ht="11.25">
      <c r="C250" s="741"/>
    </row>
    <row r="251" ht="11.25">
      <c r="C251" s="741"/>
    </row>
    <row r="252" ht="11.25">
      <c r="C252" s="741"/>
    </row>
    <row r="253" ht="11.25">
      <c r="C253" s="741"/>
    </row>
    <row r="254" ht="11.25">
      <c r="C254" s="741"/>
    </row>
    <row r="255" ht="11.25">
      <c r="C255" s="741"/>
    </row>
    <row r="256" ht="11.25">
      <c r="C256" s="741"/>
    </row>
    <row r="257" ht="11.25">
      <c r="C257" s="741"/>
    </row>
    <row r="258" ht="11.25">
      <c r="C258" s="741"/>
    </row>
    <row r="259" ht="11.25">
      <c r="C259" s="741"/>
    </row>
    <row r="260" ht="11.25">
      <c r="C260" s="741"/>
    </row>
    <row r="261" ht="11.25">
      <c r="C261" s="741"/>
    </row>
    <row r="262" ht="11.25">
      <c r="C262" s="741"/>
    </row>
    <row r="263" ht="11.25">
      <c r="C263" s="741"/>
    </row>
    <row r="264" ht="11.25">
      <c r="C264" s="741"/>
    </row>
    <row r="265" ht="11.25">
      <c r="C265" s="741"/>
    </row>
    <row r="266" ht="11.25">
      <c r="C266" s="741"/>
    </row>
    <row r="267" ht="11.25">
      <c r="C267" s="741"/>
    </row>
    <row r="268" ht="11.25">
      <c r="C268" s="741"/>
    </row>
  </sheetData>
  <mergeCells count="8">
    <mergeCell ref="K4:L4"/>
    <mergeCell ref="M2:N2"/>
    <mergeCell ref="M3:N3"/>
    <mergeCell ref="M4:N4"/>
    <mergeCell ref="E2:G2"/>
    <mergeCell ref="E3:G3"/>
    <mergeCell ref="K2:L2"/>
    <mergeCell ref="K3:L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PwC</dc:creator>
  <cp:keywords/>
  <dc:description/>
  <cp:lastModifiedBy>Masaya</cp:lastModifiedBy>
  <cp:lastPrinted>2009-05-12T07:46:58Z</cp:lastPrinted>
  <dcterms:created xsi:type="dcterms:W3CDTF">2000-05-13T17:24:41Z</dcterms:created>
  <dcterms:modified xsi:type="dcterms:W3CDTF">2009-05-13T10:25:16Z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